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D:\BLANDFORDSTMARYPARISHCOUNCIL\Accounts\Accounts 2022-2023\"/>
    </mc:Choice>
  </mc:AlternateContent>
  <xr:revisionPtr revIDLastSave="0" documentId="13_ncr:1_{8C33FBD0-8666-4D69-B2A1-4BDD54CD99D2}" xr6:coauthVersionLast="47" xr6:coauthVersionMax="47" xr10:uidLastSave="{00000000-0000-0000-0000-000000000000}"/>
  <bookViews>
    <workbookView xWindow="-120" yWindow="-120" windowWidth="29040" windowHeight="15720" tabRatio="679" xr2:uid="{8E0FC9E1-3CCC-4891-AA8E-B16486EF5029}"/>
  </bookViews>
  <sheets>
    <sheet name="Transactions" sheetId="1" r:id="rId1"/>
    <sheet name="Bank Reconciliation" sheetId="3" r:id="rId2"/>
    <sheet name="Management Account" sheetId="5" r:id="rId3"/>
    <sheet name="Sheet1" sheetId="7" state="hidden" r:id="rId4"/>
    <sheet name="Parameters" sheetId="6" r:id="rId5"/>
    <sheet name="Categories List" sheetId="2" r:id="rId6"/>
    <sheet name="Sheet2" sheetId="8" r:id="rId7"/>
  </sheets>
  <definedNames>
    <definedName name="BankStatementBalance">Parameters!$F$8</definedName>
    <definedName name="dbTable24">Table24[#All]</definedName>
    <definedName name="ddMonths">'Categories List'!$E$3:$E$15</definedName>
    <definedName name="EndOfPeriod">Parameters!$I$5</definedName>
    <definedName name="_xlnm.Print_Area" localSheetId="1">'Bank Reconciliation'!$C$1:$G$31</definedName>
    <definedName name="_xlnm.Print_Area" localSheetId="2">'Management Account'!$B$1:$H$47</definedName>
    <definedName name="_xlnm.Print_Area" localSheetId="0">Transactions!$A$2:$K$138</definedName>
    <definedName name="YearEnd">Parameters!$F$2</definedName>
    <definedName name="YearStart">Parameters!$D$2</definedName>
  </definedNames>
  <calcPr calcId="191029"/>
  <pivotCaches>
    <pivotCache cacheId="0" r:id="rId8"/>
    <pivotCache cacheId="1" r:id="rId9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5" i="1" l="1"/>
  <c r="N34" i="1"/>
  <c r="N12" i="1"/>
  <c r="N137" i="1"/>
  <c r="N136" i="1" l="1"/>
  <c r="C32" i="5"/>
  <c r="C17" i="8"/>
  <c r="J5" i="6"/>
  <c r="E31" i="5" s="1"/>
  <c r="F5" i="6"/>
  <c r="J4" i="6"/>
  <c r="F4" i="6"/>
  <c r="C43" i="5"/>
  <c r="G2" i="5"/>
  <c r="G8" i="3"/>
  <c r="G6" i="3"/>
  <c r="J138" i="1"/>
  <c r="H138" i="1"/>
  <c r="G138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1" i="1"/>
  <c r="N10" i="1"/>
  <c r="N9" i="1"/>
  <c r="N8" i="1"/>
  <c r="N7" i="1"/>
  <c r="N6" i="1"/>
  <c r="N5" i="1"/>
  <c r="N4" i="1"/>
  <c r="N3" i="1"/>
  <c r="M3" i="1"/>
  <c r="M4" i="1" s="1"/>
  <c r="M5" i="1" s="1"/>
  <c r="M6" i="1" s="1"/>
  <c r="M7" i="1" s="1"/>
  <c r="M8" i="1" s="1"/>
  <c r="M9" i="1" s="1"/>
  <c r="M10" i="1" s="1"/>
  <c r="M11" i="1" s="1"/>
  <c r="M12" i="1" s="1"/>
  <c r="K4" i="1"/>
  <c r="K5" i="1" s="1"/>
  <c r="K6" i="1" s="1"/>
  <c r="K7" i="1" s="1"/>
  <c r="K8" i="1" s="1"/>
  <c r="K9" i="1" s="1"/>
  <c r="K10" i="1" s="1"/>
  <c r="K11" i="1" s="1"/>
  <c r="K12" i="1" s="1"/>
  <c r="J1" i="7"/>
  <c r="H10" i="7"/>
  <c r="J9" i="7"/>
  <c r="J5" i="7"/>
  <c r="J6" i="7"/>
  <c r="J8" i="7"/>
  <c r="J3" i="7"/>
  <c r="H9" i="7"/>
  <c r="J4" i="7"/>
  <c r="J10" i="7"/>
  <c r="J7" i="7"/>
  <c r="J11" i="7"/>
  <c r="J2" i="7"/>
  <c r="K13" i="1" l="1"/>
  <c r="K14" i="1" s="1"/>
  <c r="K15" i="1" s="1"/>
  <c r="K16" i="1" s="1"/>
  <c r="K17" i="1" s="1"/>
  <c r="K18" i="1" s="1"/>
  <c r="K19" i="1" s="1"/>
  <c r="K20" i="1" s="1"/>
  <c r="K21" i="1" s="1"/>
  <c r="K22" i="1" s="1"/>
  <c r="K23" i="1" s="1"/>
  <c r="K24" i="1" s="1"/>
  <c r="K25" i="1" s="1"/>
  <c r="K26" i="1" s="1"/>
  <c r="K27" i="1" s="1"/>
  <c r="K28" i="1" s="1"/>
  <c r="K29" i="1" s="1"/>
  <c r="K30" i="1" s="1"/>
  <c r="K31" i="1" s="1"/>
  <c r="M13" i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5" i="1" s="1"/>
  <c r="D31" i="5"/>
  <c r="G31" i="5" s="1"/>
  <c r="E30" i="5"/>
  <c r="D30" i="5"/>
  <c r="E28" i="5"/>
  <c r="D24" i="5"/>
  <c r="G24" i="5" s="1"/>
  <c r="C12" i="3"/>
  <c r="D13" i="5"/>
  <c r="G13" i="5" s="1"/>
  <c r="D26" i="5"/>
  <c r="G26" i="5" s="1"/>
  <c r="D6" i="5"/>
  <c r="G6" i="5" s="1"/>
  <c r="D10" i="5"/>
  <c r="G10" i="5" s="1"/>
  <c r="D14" i="5"/>
  <c r="G14" i="5" s="1"/>
  <c r="D20" i="5"/>
  <c r="G20" i="5" s="1"/>
  <c r="D5" i="5"/>
  <c r="G5" i="5" s="1"/>
  <c r="D9" i="5"/>
  <c r="G9" i="5" s="1"/>
  <c r="D18" i="5"/>
  <c r="G18" i="5" s="1"/>
  <c r="D3" i="5"/>
  <c r="G3" i="5" s="1"/>
  <c r="D7" i="5"/>
  <c r="G7" i="5" s="1"/>
  <c r="D11" i="5"/>
  <c r="G11" i="5" s="1"/>
  <c r="D15" i="5"/>
  <c r="G15" i="5" s="1"/>
  <c r="D22" i="5"/>
  <c r="G22" i="5" s="1"/>
  <c r="D4" i="5"/>
  <c r="G4" i="5" s="1"/>
  <c r="D8" i="5"/>
  <c r="G8" i="5" s="1"/>
  <c r="D12" i="5"/>
  <c r="G12" i="5" s="1"/>
  <c r="D16" i="5"/>
  <c r="G16" i="5" s="1"/>
  <c r="E4" i="5"/>
  <c r="E6" i="5"/>
  <c r="E8" i="5"/>
  <c r="E10" i="5"/>
  <c r="E12" i="5"/>
  <c r="E14" i="5"/>
  <c r="E16" i="5"/>
  <c r="E18" i="5"/>
  <c r="E20" i="5"/>
  <c r="E22" i="5"/>
  <c r="E24" i="5"/>
  <c r="E26" i="5"/>
  <c r="E29" i="5"/>
  <c r="I5" i="6"/>
  <c r="D17" i="5"/>
  <c r="G17" i="5" s="1"/>
  <c r="D19" i="5"/>
  <c r="G19" i="5" s="1"/>
  <c r="D21" i="5"/>
  <c r="G21" i="5" s="1"/>
  <c r="D23" i="5"/>
  <c r="G23" i="5" s="1"/>
  <c r="D25" i="5"/>
  <c r="G25" i="5" s="1"/>
  <c r="E27" i="5"/>
  <c r="D41" i="5"/>
  <c r="E3" i="5"/>
  <c r="E5" i="5"/>
  <c r="E7" i="5"/>
  <c r="E9" i="5"/>
  <c r="E11" i="5"/>
  <c r="E13" i="5"/>
  <c r="E15" i="5"/>
  <c r="E17" i="5"/>
  <c r="E19" i="5"/>
  <c r="E21" i="5"/>
  <c r="E23" i="5"/>
  <c r="E25" i="5"/>
  <c r="D28" i="5"/>
  <c r="G28" i="5" s="1"/>
  <c r="D27" i="5"/>
  <c r="G27" i="5" s="1"/>
  <c r="D29" i="5"/>
  <c r="G29" i="5" s="1"/>
  <c r="D38" i="5"/>
  <c r="D42" i="5"/>
  <c r="D35" i="5"/>
  <c r="D39" i="5"/>
  <c r="D36" i="5"/>
  <c r="D40" i="5"/>
  <c r="D37" i="5"/>
  <c r="K32" i="1" l="1"/>
  <c r="K33" i="1" s="1"/>
  <c r="K34" i="1" s="1"/>
  <c r="K35" i="1" s="1"/>
  <c r="K36" i="1" s="1"/>
  <c r="K37" i="1" s="1"/>
  <c r="K38" i="1" s="1"/>
  <c r="K39" i="1" s="1"/>
  <c r="K40" i="1" s="1"/>
  <c r="K41" i="1" s="1"/>
  <c r="K42" i="1" s="1"/>
  <c r="K43" i="1" s="1"/>
  <c r="K44" i="1" s="1"/>
  <c r="K45" i="1" s="1"/>
  <c r="K46" i="1" s="1"/>
  <c r="K47" i="1" s="1"/>
  <c r="K48" i="1" s="1"/>
  <c r="K49" i="1" s="1"/>
  <c r="K50" i="1" s="1"/>
  <c r="K51" i="1" s="1"/>
  <c r="K52" i="1" s="1"/>
  <c r="K53" i="1" s="1"/>
  <c r="K54" i="1" s="1"/>
  <c r="K55" i="1" s="1"/>
  <c r="K56" i="1" s="1"/>
  <c r="K57" i="1" s="1"/>
  <c r="K58" i="1" s="1"/>
  <c r="K59" i="1" s="1"/>
  <c r="K60" i="1" s="1"/>
  <c r="K61" i="1" s="1"/>
  <c r="K62" i="1" s="1"/>
  <c r="K63" i="1" s="1"/>
  <c r="K64" i="1" s="1"/>
  <c r="K65" i="1" s="1"/>
  <c r="K66" i="1" s="1"/>
  <c r="K67" i="1" s="1"/>
  <c r="K68" i="1" s="1"/>
  <c r="K69" i="1" s="1"/>
  <c r="K70" i="1" s="1"/>
  <c r="K71" i="1" s="1"/>
  <c r="K72" i="1" s="1"/>
  <c r="K73" i="1" s="1"/>
  <c r="K74" i="1" s="1"/>
  <c r="K75" i="1" s="1"/>
  <c r="K76" i="1" s="1"/>
  <c r="K77" i="1" s="1"/>
  <c r="K78" i="1" s="1"/>
  <c r="K79" i="1" s="1"/>
  <c r="K80" i="1" s="1"/>
  <c r="K81" i="1" s="1"/>
  <c r="K82" i="1" s="1"/>
  <c r="K83" i="1" s="1"/>
  <c r="K84" i="1" s="1"/>
  <c r="K85" i="1" s="1"/>
  <c r="K86" i="1" s="1"/>
  <c r="K87" i="1" s="1"/>
  <c r="K88" i="1" s="1"/>
  <c r="K89" i="1" s="1"/>
  <c r="K90" i="1" s="1"/>
  <c r="K91" i="1" s="1"/>
  <c r="K92" i="1" s="1"/>
  <c r="K93" i="1" s="1"/>
  <c r="K94" i="1" s="1"/>
  <c r="K95" i="1" s="1"/>
  <c r="K96" i="1" s="1"/>
  <c r="K97" i="1" s="1"/>
  <c r="K98" i="1" s="1"/>
  <c r="K99" i="1" s="1"/>
  <c r="K100" i="1" s="1"/>
  <c r="K101" i="1" s="1"/>
  <c r="K102" i="1" s="1"/>
  <c r="K103" i="1" s="1"/>
  <c r="K104" i="1" s="1"/>
  <c r="K105" i="1" s="1"/>
  <c r="K106" i="1" s="1"/>
  <c r="K107" i="1" s="1"/>
  <c r="K108" i="1" s="1"/>
  <c r="K109" i="1" s="1"/>
  <c r="K110" i="1" s="1"/>
  <c r="K111" i="1" s="1"/>
  <c r="K112" i="1" s="1"/>
  <c r="K113" i="1" s="1"/>
  <c r="K114" i="1" s="1"/>
  <c r="K115" i="1" s="1"/>
  <c r="K116" i="1" s="1"/>
  <c r="K117" i="1" s="1"/>
  <c r="K118" i="1" s="1"/>
  <c r="K119" i="1" s="1"/>
  <c r="K120" i="1" s="1"/>
  <c r="K121" i="1" s="1"/>
  <c r="K122" i="1" s="1"/>
  <c r="K123" i="1" s="1"/>
  <c r="K124" i="1" s="1"/>
  <c r="K125" i="1" s="1"/>
  <c r="K126" i="1" s="1"/>
  <c r="K127" i="1" s="1"/>
  <c r="K128" i="1" s="1"/>
  <c r="K129" i="1" s="1"/>
  <c r="K130" i="1" s="1"/>
  <c r="K131" i="1" s="1"/>
  <c r="K132" i="1" s="1"/>
  <c r="K133" i="1" s="1"/>
  <c r="K134" i="1" s="1"/>
  <c r="K135" i="1" s="1"/>
  <c r="K136" i="1" s="1"/>
  <c r="K137" i="1" s="1"/>
  <c r="M36" i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3" i="1" s="1"/>
  <c r="M94" i="1" s="1"/>
  <c r="M95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M130" i="1" s="1"/>
  <c r="M131" i="1" s="1"/>
  <c r="M132" i="1" s="1"/>
  <c r="M133" i="1" s="1"/>
  <c r="M134" i="1" s="1"/>
  <c r="M135" i="1" s="1"/>
  <c r="M136" i="1" s="1"/>
  <c r="M137" i="1" s="1"/>
  <c r="M34" i="1"/>
  <c r="G12" i="3"/>
  <c r="F31" i="5"/>
  <c r="G30" i="5"/>
  <c r="G32" i="5" s="1"/>
  <c r="F30" i="5"/>
  <c r="F9" i="5"/>
  <c r="F24" i="5"/>
  <c r="F13" i="5"/>
  <c r="F6" i="5"/>
  <c r="F7" i="5"/>
  <c r="F22" i="5"/>
  <c r="F26" i="5"/>
  <c r="F20" i="5"/>
  <c r="F3" i="5"/>
  <c r="F14" i="5"/>
  <c r="F12" i="5"/>
  <c r="F18" i="5"/>
  <c r="F15" i="5"/>
  <c r="F16" i="5"/>
  <c r="F11" i="5"/>
  <c r="F10" i="5"/>
  <c r="F4" i="5"/>
  <c r="F5" i="5"/>
  <c r="F8" i="5"/>
  <c r="F23" i="5"/>
  <c r="F28" i="5"/>
  <c r="F21" i="5"/>
  <c r="F27" i="5"/>
  <c r="F25" i="5"/>
  <c r="F17" i="5"/>
  <c r="F19" i="5"/>
  <c r="E32" i="5"/>
  <c r="E2" i="5"/>
  <c r="D2" i="5"/>
  <c r="F2" i="5"/>
  <c r="F1" i="5"/>
  <c r="D43" i="5"/>
  <c r="D32" i="5"/>
  <c r="F29" i="5"/>
  <c r="F32" i="5" l="1"/>
</calcChain>
</file>

<file path=xl/sharedStrings.xml><?xml version="1.0" encoding="utf-8"?>
<sst xmlns="http://schemas.openxmlformats.org/spreadsheetml/2006/main" count="928" uniqueCount="293">
  <si>
    <t>Document Date</t>
  </si>
  <si>
    <t>Payt. Sched. Month</t>
  </si>
  <si>
    <t>Payee</t>
  </si>
  <si>
    <t>Doc. Ref.</t>
  </si>
  <si>
    <t>Category</t>
  </si>
  <si>
    <t>VAT Included</t>
  </si>
  <si>
    <t>Expense Amount</t>
  </si>
  <si>
    <t>Exp. Not Yet Paid</t>
  </si>
  <si>
    <t>Receipt Amount</t>
  </si>
  <si>
    <t>Balance B/Fwd.</t>
  </si>
  <si>
    <t>Precept</t>
  </si>
  <si>
    <t>Clerk's Wages</t>
  </si>
  <si>
    <t>Grass Cutting</t>
  </si>
  <si>
    <t>Clerk's Expenses</t>
  </si>
  <si>
    <t>Grants &amp; Donations</t>
  </si>
  <si>
    <t>Neighbourhood Plan</t>
  </si>
  <si>
    <t>Membership Fees</t>
  </si>
  <si>
    <t>Training &amp; Seminars</t>
  </si>
  <si>
    <t>Audit &amp; Governance</t>
  </si>
  <si>
    <t>Other Maintenance</t>
  </si>
  <si>
    <t>Parish Council expenses</t>
  </si>
  <si>
    <t>Insurance</t>
  </si>
  <si>
    <t>Hall Hire</t>
  </si>
  <si>
    <t>Stationery</t>
  </si>
  <si>
    <t>CategoryTable</t>
  </si>
  <si>
    <t>Name</t>
  </si>
  <si>
    <t>Section</t>
  </si>
  <si>
    <t>BS</t>
  </si>
  <si>
    <t>Exp</t>
  </si>
  <si>
    <t>Inc</t>
  </si>
  <si>
    <t>Detail</t>
  </si>
  <si>
    <t>Cash Book Balance</t>
  </si>
  <si>
    <t>Cleared the Bank</t>
  </si>
  <si>
    <t>Bank Balance</t>
  </si>
  <si>
    <t>Yes</t>
  </si>
  <si>
    <t>Bank Reconciliation as at:</t>
  </si>
  <si>
    <t>Balance per Bank Statement</t>
  </si>
  <si>
    <t>Add back Uncleared Payments:</t>
  </si>
  <si>
    <t>Deduct Unbanked Receipts:</t>
  </si>
  <si>
    <t>Grand Total</t>
  </si>
  <si>
    <t>Apr</t>
  </si>
  <si>
    <t>May</t>
  </si>
  <si>
    <t>Jul</t>
  </si>
  <si>
    <t>Sep</t>
  </si>
  <si>
    <t>Oct</t>
  </si>
  <si>
    <t>Nov</t>
  </si>
  <si>
    <t>Jan</t>
  </si>
  <si>
    <t>Feb</t>
  </si>
  <si>
    <t>Mar</t>
  </si>
  <si>
    <t>Row Labels</t>
  </si>
  <si>
    <t>Expenditure</t>
  </si>
  <si>
    <t>Income</t>
  </si>
  <si>
    <t>Periods</t>
  </si>
  <si>
    <t>VAT Refund</t>
  </si>
  <si>
    <t>MonthNo</t>
  </si>
  <si>
    <t>Abbrev.</t>
  </si>
  <si>
    <t>Jun</t>
  </si>
  <si>
    <t>Aug</t>
  </si>
  <si>
    <t>Dec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</si>
  <si>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</si>
  <si>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</si>
  <si>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</si>
  <si>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</si>
  <si>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</si>
  <si>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</si>
  <si>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</si>
  <si>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</si>
  <si>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</si>
  <si>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</si>
  <si>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</si>
  <si>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MonthName</t>
  </si>
  <si>
    <t>Apr [Next Yr]</t>
  </si>
  <si>
    <t>Next April</t>
  </si>
  <si>
    <t>Reporting Period:</t>
  </si>
  <si>
    <t>From:</t>
  </si>
  <si>
    <t>To</t>
  </si>
  <si>
    <t>Financial Year</t>
  </si>
  <si>
    <t>PeriodNumber</t>
  </si>
  <si>
    <t>Miscellaneous (Inc)</t>
  </si>
  <si>
    <t>Miscellaneous (Exp)</t>
  </si>
  <si>
    <t>Categories In Use This Year</t>
  </si>
  <si>
    <t>End of</t>
  </si>
  <si>
    <t>Period</t>
  </si>
  <si>
    <t>Period No.</t>
  </si>
  <si>
    <t>Amount Paid</t>
  </si>
  <si>
    <t xml:space="preserve">Accounting Period to  </t>
  </si>
  <si>
    <t>Amount Received</t>
  </si>
  <si>
    <t>Addition on Income Total - omits £57</t>
  </si>
  <si>
    <t>Modify headings</t>
  </si>
  <si>
    <t>Budget Proportion</t>
  </si>
  <si>
    <t>Explain dates and Year</t>
  </si>
  <si>
    <t>Remove brackets on (Adverse)</t>
  </si>
  <si>
    <t>Make header light blue - leave Income at green</t>
  </si>
  <si>
    <t>Cask book spelling - Bank Rec</t>
  </si>
  <si>
    <t>Balance per Cash Book:</t>
  </si>
  <si>
    <t>N/hood Plan Refund</t>
  </si>
  <si>
    <t>The above has been done.  Now to do:</t>
  </si>
  <si>
    <t>Updates to do now:</t>
  </si>
  <si>
    <t>Update data validation on Categories in:</t>
  </si>
  <si>
    <t>Transactions data lines</t>
  </si>
  <si>
    <t>Source string is =INDIRECT("CategoryTable[Name]")</t>
  </si>
  <si>
    <t>Take copy of latest version and remove transactions, then test a couple of lines</t>
  </si>
  <si>
    <t>Mgt Accts column A, plus extra rows downwards (unless using copy of latest version)</t>
  </si>
  <si>
    <t>Send PDF sample to Carol</t>
  </si>
  <si>
    <t>Receipt</t>
  </si>
  <si>
    <t>Budget</t>
  </si>
  <si>
    <t>Allotment</t>
  </si>
  <si>
    <t>British Legion</t>
  </si>
  <si>
    <t>contingency</t>
  </si>
  <si>
    <t>Health and safety</t>
  </si>
  <si>
    <t xml:space="preserve">Highways maint </t>
  </si>
  <si>
    <t>outdoor gym</t>
  </si>
  <si>
    <t>Play Area</t>
  </si>
  <si>
    <t>exp</t>
  </si>
  <si>
    <t>solar panel in</t>
  </si>
  <si>
    <t>community benefit</t>
  </si>
  <si>
    <t xml:space="preserve">Village Hall </t>
  </si>
  <si>
    <t>website</t>
  </si>
  <si>
    <t>Waste Bins</t>
  </si>
  <si>
    <t>Play Area inc</t>
  </si>
  <si>
    <t xml:space="preserve">Election </t>
  </si>
  <si>
    <t>Village Hall hire</t>
  </si>
  <si>
    <t xml:space="preserve">pension </t>
  </si>
  <si>
    <t xml:space="preserve">Deposit Account </t>
  </si>
  <si>
    <t>CCLA Investment</t>
  </si>
  <si>
    <t xml:space="preserve">end of year total </t>
  </si>
  <si>
    <t>Dividend</t>
  </si>
  <si>
    <t>Opening balance</t>
  </si>
  <si>
    <t>Listing</t>
  </si>
  <si>
    <t>Staff and Cllr cost</t>
  </si>
  <si>
    <t>Councillors exp</t>
  </si>
  <si>
    <t>Council costs</t>
  </si>
  <si>
    <t>Grants</t>
  </si>
  <si>
    <t>Other</t>
  </si>
  <si>
    <t>Allotments</t>
  </si>
  <si>
    <t>Allotment ass in</t>
  </si>
  <si>
    <t>Allotment ass out</t>
  </si>
  <si>
    <t>opening balance</t>
  </si>
  <si>
    <t>N Phillips</t>
  </si>
  <si>
    <t>yes</t>
  </si>
  <si>
    <t>Dorset Waste Partnership</t>
  </si>
  <si>
    <t>Vision ICT</t>
  </si>
  <si>
    <t xml:space="preserve">Blandford Town Council </t>
  </si>
  <si>
    <t>Martin Park</t>
  </si>
  <si>
    <t xml:space="preserve">Dorset Council </t>
  </si>
  <si>
    <t>employee NI</t>
  </si>
  <si>
    <t>Allotment Ass</t>
  </si>
  <si>
    <t xml:space="preserve">Lamit Proerty Fund </t>
  </si>
  <si>
    <t>Adams - Allotment</t>
  </si>
  <si>
    <t>Nest DD</t>
  </si>
  <si>
    <t>HMR Employers NI</t>
  </si>
  <si>
    <t>N Phillips DD</t>
  </si>
  <si>
    <t>British Telecome</t>
  </si>
  <si>
    <t>Leaks Tree Care</t>
  </si>
  <si>
    <t>Information Comm Office</t>
  </si>
  <si>
    <t xml:space="preserve">DAPTC </t>
  </si>
  <si>
    <t>Mr Dallision - Queen Jubile</t>
  </si>
  <si>
    <t>Mile allotment rent</t>
  </si>
  <si>
    <t xml:space="preserve">Allotment ass Mile </t>
  </si>
  <si>
    <t>Budget 2022-2023</t>
  </si>
  <si>
    <t xml:space="preserve"> £-   </t>
  </si>
  <si>
    <t>Funds allocated- Year to March 2023</t>
  </si>
  <si>
    <t>Littleton Solar Farm</t>
  </si>
  <si>
    <t>Income from solar farm</t>
  </si>
  <si>
    <t xml:space="preserve">Clerk wages </t>
  </si>
  <si>
    <t>Blandford St Mary School</t>
  </si>
  <si>
    <t>Donation Jubilee</t>
  </si>
  <si>
    <t>outdoor gym (nov 2021)</t>
  </si>
  <si>
    <t xml:space="preserve">Annual Sub </t>
  </si>
  <si>
    <t>Clerk expenses May</t>
  </si>
  <si>
    <t>HMR Tax-Ni</t>
  </si>
  <si>
    <t xml:space="preserve">Tax and NI </t>
  </si>
  <si>
    <t>employee NI/Tax</t>
  </si>
  <si>
    <t>HMR NI for eoy</t>
  </si>
  <si>
    <t>Employers NI Holiday Pay</t>
  </si>
  <si>
    <t>grass cutting</t>
  </si>
  <si>
    <t>Website hosting annual</t>
  </si>
  <si>
    <t>Emial accounts</t>
  </si>
  <si>
    <t>HMR</t>
  </si>
  <si>
    <t>Cllr R Whitlock/FOBS</t>
  </si>
  <si>
    <t>Friends of BSM Primary Sc</t>
  </si>
  <si>
    <t xml:space="preserve">Cllr R Whitlock </t>
  </si>
  <si>
    <t xml:space="preserve">Flowers for resident </t>
  </si>
  <si>
    <t>Clerk Pension</t>
  </si>
  <si>
    <t>HMR Vat return</t>
  </si>
  <si>
    <t>Vat Return</t>
  </si>
  <si>
    <t xml:space="preserve">Community Art Work </t>
  </si>
  <si>
    <t>Grants 2021-2022</t>
  </si>
  <si>
    <t>N Phillips Expenses</t>
  </si>
  <si>
    <t>Clerk expenses June</t>
  </si>
  <si>
    <t xml:space="preserve">Ministry of Play </t>
  </si>
  <si>
    <t>Invoice 20259</t>
  </si>
  <si>
    <t xml:space="preserve">Grass Cutting </t>
  </si>
  <si>
    <t>Outdoor gym June</t>
  </si>
  <si>
    <t>Viking Direct</t>
  </si>
  <si>
    <t>Stationery inc screen</t>
  </si>
  <si>
    <t>Clerk expenses</t>
  </si>
  <si>
    <t>Rapid Accounts</t>
  </si>
  <si>
    <t>Internal Audit</t>
  </si>
  <si>
    <t>Bus Stop pole</t>
  </si>
  <si>
    <t>Safety Inspection July</t>
  </si>
  <si>
    <t xml:space="preserve">Safety Inspection March </t>
  </si>
  <si>
    <t>Safety inspection Feb</t>
  </si>
  <si>
    <t>Lomit Property</t>
  </si>
  <si>
    <t>Paye/NI/emp NI</t>
  </si>
  <si>
    <t>HMR DD</t>
  </si>
  <si>
    <t>Clerk pension July</t>
  </si>
  <si>
    <t>Clerk Pension June</t>
  </si>
  <si>
    <t>N Phillip</t>
  </si>
  <si>
    <t>Clerk wages July dd</t>
  </si>
  <si>
    <t>Clerk wages Aug dd</t>
  </si>
  <si>
    <t>Clerk Pension Aug</t>
  </si>
  <si>
    <t>T signs</t>
  </si>
  <si>
    <t>2 no signs Chettle Way</t>
  </si>
  <si>
    <t xml:space="preserve">grass cutting </t>
  </si>
  <si>
    <t>PKF LittleJohn</t>
  </si>
  <si>
    <t>External Audit</t>
  </si>
  <si>
    <t>AUG</t>
  </si>
  <si>
    <t>Health &amp; safety Gym</t>
  </si>
  <si>
    <t>HMR PAYE</t>
  </si>
  <si>
    <t>Paye/NI/emp NI Aug</t>
  </si>
  <si>
    <t>Clerk wages Sep dd</t>
  </si>
  <si>
    <t>Clerk pension Sep</t>
  </si>
  <si>
    <t>Paye/NI/emp NI Sep</t>
  </si>
  <si>
    <t>Health &amp; safety Gym Aug</t>
  </si>
  <si>
    <t>Clerk expenses Sep</t>
  </si>
  <si>
    <t>Clerk wages October</t>
  </si>
  <si>
    <t>BT Phone and Broadband</t>
  </si>
  <si>
    <t>cost for phone 2022/2023</t>
  </si>
  <si>
    <t xml:space="preserve">Parish Council expenses </t>
  </si>
  <si>
    <t>Allotment Association</t>
  </si>
  <si>
    <t>Rent for allotments land</t>
  </si>
  <si>
    <t>Blanchards and Bailey</t>
  </si>
  <si>
    <t>Land registary</t>
  </si>
  <si>
    <t>Cllr R Whitlock</t>
  </si>
  <si>
    <t>Materials for sign</t>
  </si>
  <si>
    <t xml:space="preserve">PDF converter </t>
  </si>
  <si>
    <t>PDF Suite - N Phillips</t>
  </si>
  <si>
    <t xml:space="preserve">Outdoor gym </t>
  </si>
  <si>
    <t>Emial hosing annual</t>
  </si>
  <si>
    <t>Clerks expenses</t>
  </si>
  <si>
    <t>Paye/NI/emp Ni Oct</t>
  </si>
  <si>
    <t>Church wall</t>
  </si>
  <si>
    <t>Clerk wages Nov</t>
  </si>
  <si>
    <t xml:space="preserve">N Phillips </t>
  </si>
  <si>
    <t>Clerk expenses Nov</t>
  </si>
  <si>
    <t>The Play Inspection Co</t>
  </si>
  <si>
    <t>Play inspection</t>
  </si>
  <si>
    <t>Supply and plant tree</t>
  </si>
  <si>
    <t>Blandford +</t>
  </si>
  <si>
    <t>Outdoor gym Aug</t>
  </si>
  <si>
    <t>Royal British Legion</t>
  </si>
  <si>
    <t>Poppy wreaths</t>
  </si>
  <si>
    <t>Grass cutting</t>
  </si>
  <si>
    <t>Paye/NI/emp Ni Nov</t>
  </si>
  <si>
    <t>Refund</t>
  </si>
  <si>
    <t>Lamit Property fund</t>
  </si>
  <si>
    <t xml:space="preserve">Cllr Whitlock </t>
  </si>
  <si>
    <t>balance for new sign</t>
  </si>
  <si>
    <t>Cllr Albery</t>
  </si>
  <si>
    <t>Travel Cost</t>
  </si>
  <si>
    <t xml:space="preserve"> </t>
  </si>
  <si>
    <t>Peter Robb Associates</t>
  </si>
  <si>
    <t xml:space="preserve">interim fee for QS </t>
  </si>
  <si>
    <t>Clerk wages Dec</t>
  </si>
  <si>
    <t>clerk's wages</t>
  </si>
  <si>
    <t>Paye/ni/emp NI Dec</t>
  </si>
  <si>
    <t>Clerks exp &amp; hedge meet</t>
  </si>
  <si>
    <t>Notices</t>
  </si>
  <si>
    <t>Clerks wages</t>
  </si>
  <si>
    <t>Clerk expenses Jan</t>
  </si>
  <si>
    <t>Underpaid wages</t>
  </si>
  <si>
    <t>Paye/ni/emp ni Jan</t>
  </si>
  <si>
    <t>no</t>
  </si>
  <si>
    <t>Clerk's wages Feb</t>
  </si>
  <si>
    <t xml:space="preserve">Pension </t>
  </si>
  <si>
    <t>Outdoor Gym Jan</t>
  </si>
  <si>
    <t>Dog Signs</t>
  </si>
  <si>
    <t>Professional Services</t>
  </si>
  <si>
    <t>Clerks wages March</t>
  </si>
  <si>
    <t>PAYE/Ni/Emp ni Feb</t>
  </si>
  <si>
    <t>Grants 2022/2023</t>
  </si>
  <si>
    <t>Dorset Air Ambulance</t>
  </si>
  <si>
    <t>Dorset Citizens advice</t>
  </si>
  <si>
    <t>Outdoor gym Dec</t>
  </si>
  <si>
    <t>Clerk expenses March</t>
  </si>
  <si>
    <t>31st March 2023</t>
  </si>
  <si>
    <t>grants 2022/2023</t>
  </si>
  <si>
    <t>BTC unprecented cheque</t>
  </si>
  <si>
    <t>not paid agianst 2021</t>
  </si>
  <si>
    <t>error wrong account</t>
  </si>
  <si>
    <t>Expenses Mar</t>
  </si>
  <si>
    <t xml:space="preserve">HMR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</si>
</sst>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_(* #,##0.00_);_(* \(#,##0.00\);_(* &quot;-&quot;??_);_(@_)"/>
    <numFmt numFmtId="165" formatCode="dd\-mmm\-yyyy"/>
    <numFmt numFmtId="166" formatCode="mmm"/>
    <numFmt numFmtId="167" formatCode="[$-F800]dddd\,\ mmmm\ dd\,\ yyyy"/>
    <numFmt numFmtId="168" formatCode="&quot;£&quot;#,##0.00"/>
    <numFmt numFmtId="169" formatCode="&quot;£&quot;#,##0"/>
    <numFmt numFmtId="170" formatCode="_-* #,##0_-;\-* #,##0_-;_-* &quot;-&quot;??_-;_-@_-"/>
    <numFmt numFmtId="171" formatCode="dd\ mmmm\ yy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1"/>
      <color rgb="FFFF0000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sz val="11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79998168889431442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 tint="0.39997558519241921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/>
      <bottom style="thick">
        <color theme="4" tint="0.4999847407452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theme="4" tint="0.499984740745262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theme="4" tint="0.3999755851924192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0" fontId="2" fillId="0" borderId="1" applyNumberFormat="0" applyFill="0" applyAlignment="0" applyProtection="0"/>
    <xf numFmtId="0" fontId="4" fillId="0" borderId="2" applyNumberFormat="0" applyFill="0" applyAlignment="0" applyProtection="0"/>
    <xf numFmtId="0" fontId="6" fillId="0" borderId="4" applyNumberFormat="0" applyFill="0" applyAlignment="0" applyProtection="0"/>
    <xf numFmtId="0" fontId="7" fillId="0" borderId="5" applyNumberFormat="0" applyFill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7">
    <xf numFmtId="0" fontId="0" fillId="0" borderId="0" xfId="0"/>
    <xf numFmtId="15" fontId="0" fillId="0" borderId="0" xfId="0" applyNumberFormat="1"/>
    <xf numFmtId="49" fontId="0" fillId="0" borderId="0" xfId="0" applyNumberFormat="1"/>
    <xf numFmtId="49" fontId="0" fillId="0" borderId="0" xfId="0" applyNumberFormat="1" applyAlignment="1">
      <alignment wrapText="1"/>
    </xf>
    <xf numFmtId="43" fontId="0" fillId="0" borderId="0" xfId="1" applyFont="1"/>
    <xf numFmtId="15" fontId="0" fillId="0" borderId="0" xfId="0" applyNumberFormat="1" applyAlignment="1">
      <alignment horizontal="center" vertical="center" wrapText="1"/>
    </xf>
    <xf numFmtId="49" fontId="0" fillId="0" borderId="0" xfId="0" applyNumberFormat="1" applyAlignment="1">
      <alignment horizontal="center" vertical="center" wrapText="1"/>
    </xf>
    <xf numFmtId="43" fontId="0" fillId="0" borderId="0" xfId="1" applyFont="1" applyAlignment="1">
      <alignment horizontal="right" vertical="center" wrapText="1"/>
    </xf>
    <xf numFmtId="164" fontId="0" fillId="0" borderId="0" xfId="0" applyNumberFormat="1"/>
    <xf numFmtId="2" fontId="0" fillId="0" borderId="0" xfId="0" applyNumberFormat="1"/>
    <xf numFmtId="0" fontId="2" fillId="0" borderId="1" xfId="2"/>
    <xf numFmtId="165" fontId="0" fillId="0" borderId="0" xfId="0" applyNumberFormat="1"/>
    <xf numFmtId="166" fontId="0" fillId="0" borderId="0" xfId="0" applyNumberFormat="1"/>
    <xf numFmtId="166" fontId="0" fillId="0" borderId="0" xfId="0" applyNumberFormat="1" applyAlignment="1">
      <alignment horizontal="center" vertical="center" wrapText="1"/>
    </xf>
    <xf numFmtId="2" fontId="0" fillId="0" borderId="0" xfId="1" applyNumberFormat="1" applyFont="1" applyAlignment="1">
      <alignment horizontal="center" vertical="center" wrapText="1"/>
    </xf>
    <xf numFmtId="2" fontId="5" fillId="0" borderId="0" xfId="1" applyNumberFormat="1" applyFont="1"/>
    <xf numFmtId="168" fontId="0" fillId="0" borderId="0" xfId="0" applyNumberFormat="1"/>
    <xf numFmtId="0" fontId="0" fillId="0" borderId="0" xfId="0" pivotButton="1"/>
    <xf numFmtId="14" fontId="0" fillId="0" borderId="0" xfId="0" applyNumberFormat="1"/>
    <xf numFmtId="0" fontId="0" fillId="0" borderId="0" xfId="0" applyAlignment="1">
      <alignment horizontal="left"/>
    </xf>
    <xf numFmtId="169" fontId="0" fillId="0" borderId="0" xfId="0" applyNumberFormat="1"/>
    <xf numFmtId="169" fontId="2" fillId="4" borderId="1" xfId="2" applyNumberFormat="1" applyFill="1" applyAlignment="1">
      <alignment horizontal="center" vertical="center" wrapText="1"/>
    </xf>
    <xf numFmtId="0" fontId="4" fillId="0" borderId="2" xfId="3"/>
    <xf numFmtId="0" fontId="0" fillId="3" borderId="3" xfId="0" applyFill="1" applyBorder="1"/>
    <xf numFmtId="0" fontId="0" fillId="0" borderId="3" xfId="0" applyBorder="1"/>
    <xf numFmtId="166" fontId="0" fillId="0" borderId="0" xfId="0" applyNumberFormat="1" applyAlignment="1">
      <alignment horizontal="right"/>
    </xf>
    <xf numFmtId="167" fontId="0" fillId="0" borderId="0" xfId="0" applyNumberFormat="1" applyAlignment="1">
      <alignment wrapText="1"/>
    </xf>
    <xf numFmtId="0" fontId="3" fillId="2" borderId="0" xfId="0" applyFont="1" applyFill="1"/>
    <xf numFmtId="43" fontId="0" fillId="0" borderId="0" xfId="1" applyFont="1" applyAlignment="1">
      <alignment horizontal="center" vertical="center" wrapText="1"/>
    </xf>
    <xf numFmtId="0" fontId="0" fillId="0" borderId="0" xfId="0" applyAlignment="1">
      <alignment wrapText="1"/>
    </xf>
    <xf numFmtId="0" fontId="2" fillId="0" borderId="7" xfId="2" applyBorder="1"/>
    <xf numFmtId="0" fontId="2" fillId="0" borderId="8" xfId="2" applyBorder="1"/>
    <xf numFmtId="14" fontId="0" fillId="0" borderId="9" xfId="0" applyNumberFormat="1" applyBorder="1"/>
    <xf numFmtId="0" fontId="0" fillId="0" borderId="10" xfId="0" applyBorder="1"/>
    <xf numFmtId="0" fontId="0" fillId="0" borderId="9" xfId="0" applyBorder="1"/>
    <xf numFmtId="0" fontId="2" fillId="0" borderId="11" xfId="2" applyBorder="1"/>
    <xf numFmtId="0" fontId="0" fillId="0" borderId="12" xfId="0" applyBorder="1"/>
    <xf numFmtId="14" fontId="0" fillId="5" borderId="12" xfId="0" applyNumberFormat="1" applyFill="1" applyBorder="1"/>
    <xf numFmtId="0" fontId="0" fillId="0" borderId="12" xfId="0" applyBorder="1" applyAlignment="1">
      <alignment horizontal="center" vertical="center"/>
    </xf>
    <xf numFmtId="14" fontId="0" fillId="5" borderId="13" xfId="0" applyNumberFormat="1" applyFill="1" applyBorder="1"/>
    <xf numFmtId="0" fontId="2" fillId="0" borderId="14" xfId="2" applyBorder="1"/>
    <xf numFmtId="0" fontId="0" fillId="0" borderId="15" xfId="0" applyBorder="1"/>
    <xf numFmtId="0" fontId="7" fillId="0" borderId="16" xfId="5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7" fillId="0" borderId="19" xfId="5" applyBorder="1"/>
    <xf numFmtId="0" fontId="0" fillId="5" borderId="19" xfId="0" applyFill="1" applyBorder="1"/>
    <xf numFmtId="0" fontId="0" fillId="0" borderId="20" xfId="0" applyBorder="1"/>
    <xf numFmtId="167" fontId="4" fillId="0" borderId="21" xfId="0" applyNumberFormat="1" applyFont="1" applyBorder="1"/>
    <xf numFmtId="168" fontId="0" fillId="5" borderId="0" xfId="0" applyNumberFormat="1" applyFill="1"/>
    <xf numFmtId="168" fontId="8" fillId="0" borderId="0" xfId="0" applyNumberFormat="1" applyFont="1"/>
    <xf numFmtId="171" fontId="6" fillId="0" borderId="4" xfId="4" applyNumberFormat="1" applyAlignment="1">
      <alignment horizontal="left" vertical="center"/>
    </xf>
    <xf numFmtId="0" fontId="0" fillId="0" borderId="23" xfId="0" applyBorder="1"/>
    <xf numFmtId="170" fontId="5" fillId="0" borderId="0" xfId="1" applyNumberFormat="1" applyFont="1"/>
    <xf numFmtId="0" fontId="2" fillId="6" borderId="1" xfId="2" applyFill="1" applyAlignment="1">
      <alignment horizontal="center" vertical="center" wrapText="1"/>
    </xf>
    <xf numFmtId="169" fontId="7" fillId="6" borderId="1" xfId="2" applyNumberFormat="1" applyFont="1" applyFill="1" applyAlignment="1">
      <alignment horizontal="center" vertical="center" wrapText="1"/>
    </xf>
    <xf numFmtId="168" fontId="4" fillId="0" borderId="22" xfId="0" applyNumberFormat="1" applyFont="1" applyBorder="1"/>
    <xf numFmtId="0" fontId="0" fillId="0" borderId="0" xfId="1" applyNumberFormat="1" applyFont="1" applyAlignment="1">
      <alignment horizontal="center" vertical="center" wrapText="1"/>
    </xf>
    <xf numFmtId="0" fontId="5" fillId="0" borderId="0" xfId="1" applyNumberFormat="1" applyFont="1"/>
    <xf numFmtId="2" fontId="10" fillId="0" borderId="0" xfId="1" applyNumberFormat="1" applyFont="1"/>
    <xf numFmtId="170" fontId="10" fillId="0" borderId="0" xfId="1" applyNumberFormat="1" applyFont="1"/>
    <xf numFmtId="168" fontId="4" fillId="0" borderId="2" xfId="3" applyNumberFormat="1"/>
    <xf numFmtId="44" fontId="0" fillId="0" borderId="0" xfId="6" applyFont="1"/>
    <xf numFmtId="8" fontId="0" fillId="0" borderId="0" xfId="0" applyNumberFormat="1"/>
    <xf numFmtId="168" fontId="4" fillId="0" borderId="6" xfId="3" applyNumberFormat="1" applyBorder="1"/>
    <xf numFmtId="168" fontId="2" fillId="4" borderId="1" xfId="2" applyNumberFormat="1" applyFill="1" applyAlignment="1">
      <alignment horizontal="center" vertical="center" wrapText="1"/>
    </xf>
    <xf numFmtId="168" fontId="0" fillId="7" borderId="0" xfId="0" applyNumberFormat="1" applyFill="1"/>
    <xf numFmtId="0" fontId="4" fillId="0" borderId="0" xfId="0" applyFont="1"/>
    <xf numFmtId="8" fontId="4" fillId="0" borderId="0" xfId="0" applyNumberFormat="1" applyFont="1"/>
    <xf numFmtId="44" fontId="4" fillId="0" borderId="0" xfId="0" applyNumberFormat="1" applyFont="1"/>
    <xf numFmtId="165" fontId="0" fillId="8" borderId="24" xfId="0" applyNumberFormat="1" applyFill="1" applyBorder="1"/>
    <xf numFmtId="165" fontId="0" fillId="3" borderId="24" xfId="0" applyNumberFormat="1" applyFill="1" applyBorder="1"/>
    <xf numFmtId="49" fontId="0" fillId="8" borderId="25" xfId="0" applyNumberFormat="1" applyFill="1" applyBorder="1" applyAlignment="1">
      <alignment wrapText="1"/>
    </xf>
    <xf numFmtId="49" fontId="0" fillId="3" borderId="25" xfId="0" applyNumberFormat="1" applyFill="1" applyBorder="1" applyAlignment="1">
      <alignment wrapText="1"/>
    </xf>
    <xf numFmtId="49" fontId="0" fillId="8" borderId="25" xfId="0" applyNumberFormat="1" applyFill="1" applyBorder="1"/>
    <xf numFmtId="49" fontId="0" fillId="3" borderId="25" xfId="0" applyNumberFormat="1" applyFill="1" applyBorder="1"/>
    <xf numFmtId="44" fontId="11" fillId="0" borderId="0" xfId="10" applyFont="1"/>
    <xf numFmtId="44" fontId="11" fillId="0" borderId="0" xfId="10" applyFont="1" applyBorder="1"/>
    <xf numFmtId="44" fontId="12" fillId="0" borderId="0" xfId="10" applyFont="1"/>
    <xf numFmtId="44" fontId="12" fillId="0" borderId="0" xfId="10" applyFont="1" applyBorder="1"/>
    <xf numFmtId="169" fontId="12" fillId="0" borderId="0" xfId="0" applyNumberFormat="1" applyFont="1"/>
    <xf numFmtId="44" fontId="12" fillId="0" borderId="19" xfId="10" applyFont="1" applyBorder="1"/>
    <xf numFmtId="44" fontId="12" fillId="0" borderId="22" xfId="10" applyFont="1" applyBorder="1"/>
    <xf numFmtId="44" fontId="0" fillId="3" borderId="25" xfId="6" applyFont="1" applyFill="1" applyBorder="1"/>
    <xf numFmtId="44" fontId="9" fillId="0" borderId="0" xfId="6" applyFont="1"/>
    <xf numFmtId="44" fontId="0" fillId="8" borderId="25" xfId="6" applyFont="1" applyFill="1" applyBorder="1"/>
    <xf numFmtId="0" fontId="0" fillId="0" borderId="0" xfId="0" applyAlignment="1">
      <alignment horizontal="left" indent="1"/>
    </xf>
    <xf numFmtId="44" fontId="12" fillId="9" borderId="0" xfId="6" applyFont="1" applyFill="1"/>
    <xf numFmtId="44" fontId="1" fillId="0" borderId="0" xfId="6" applyFont="1"/>
    <xf numFmtId="166" fontId="0" fillId="6" borderId="0" xfId="0" applyNumberFormat="1" applyFill="1" applyAlignment="1">
      <alignment horizontal="right"/>
    </xf>
    <xf numFmtId="49" fontId="0" fillId="6" borderId="0" xfId="0" applyNumberFormat="1" applyFill="1" applyAlignment="1">
      <alignment wrapText="1"/>
    </xf>
    <xf numFmtId="49" fontId="0" fillId="6" borderId="0" xfId="0" applyNumberFormat="1" applyFill="1"/>
    <xf numFmtId="44" fontId="0" fillId="6" borderId="0" xfId="6" applyFont="1" applyFill="1"/>
    <xf numFmtId="166" fontId="0" fillId="9" borderId="0" xfId="0" applyNumberFormat="1" applyFill="1" applyAlignment="1">
      <alignment horizontal="right"/>
    </xf>
    <xf numFmtId="49" fontId="0" fillId="9" borderId="0" xfId="0" applyNumberFormat="1" applyFill="1" applyAlignment="1">
      <alignment wrapText="1"/>
    </xf>
    <xf numFmtId="49" fontId="0" fillId="9" borderId="0" xfId="0" applyNumberFormat="1" applyFill="1"/>
    <xf numFmtId="44" fontId="0" fillId="9" borderId="0" xfId="6" applyFont="1" applyFill="1"/>
    <xf numFmtId="0" fontId="5" fillId="9" borderId="0" xfId="1" applyNumberFormat="1" applyFont="1" applyFill="1"/>
    <xf numFmtId="165" fontId="0" fillId="6" borderId="0" xfId="0" applyNumberFormat="1" applyFill="1"/>
    <xf numFmtId="0" fontId="6" fillId="0" borderId="4" xfId="4" quotePrefix="1" applyAlignment="1">
      <alignment horizontal="right" vertical="center"/>
    </xf>
    <xf numFmtId="165" fontId="0" fillId="9" borderId="0" xfId="0" applyNumberFormat="1" applyFill="1"/>
    <xf numFmtId="165" fontId="13" fillId="9" borderId="0" xfId="0" applyNumberFormat="1" applyFont="1" applyFill="1"/>
    <xf numFmtId="44" fontId="13" fillId="9" borderId="0" xfId="6" applyFont="1" applyFill="1"/>
    <xf numFmtId="0" fontId="14" fillId="9" borderId="0" xfId="1" applyNumberFormat="1" applyFont="1" applyFill="1"/>
    <xf numFmtId="2" fontId="14" fillId="9" borderId="0" xfId="1" applyNumberFormat="1" applyFont="1" applyFill="1"/>
    <xf numFmtId="2" fontId="5" fillId="9" borderId="0" xfId="1" applyNumberFormat="1" applyFont="1" applyFill="1"/>
  </cellXfs>
  <cellStyles count="11">
    <cellStyle name="Comma" xfId="1" builtinId="3"/>
    <cellStyle name="Comma 2" xfId="9" xr:uid="{0538A67A-33F6-4568-82A1-E39F8B706790}"/>
    <cellStyle name="Comma 3" xfId="7" xr:uid="{4313215A-8CDF-4502-8585-84A561107CAF}"/>
    <cellStyle name="Currency" xfId="6" builtinId="4"/>
    <cellStyle name="Currency 2" xfId="10" xr:uid="{9344DF6E-7C4F-4D56-BD52-A410F209300E}"/>
    <cellStyle name="Currency 3" xfId="8" xr:uid="{38029B10-5D4C-47C2-8F5A-D57A821635B4}"/>
    <cellStyle name="Heading 1" xfId="4" builtinId="16"/>
    <cellStyle name="Heading 2" xfId="2" builtinId="17"/>
    <cellStyle name="Heading 3" xfId="5" builtinId="18"/>
    <cellStyle name="Normal" xfId="0" builtinId="0"/>
    <cellStyle name="Total" xfId="3" builtinId="25"/>
  </cellStyles>
  <dxfs count="3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border diagonalUp="0" diagonalDown="0">
        <left/>
        <right/>
        <top style="thin">
          <color theme="4" tint="0.39997558519241921"/>
        </top>
        <bottom/>
        <vertical/>
        <horizontal/>
      </border>
    </dxf>
    <dxf>
      <border outline="0">
        <left style="thin">
          <color theme="4" tint="0.39997558519241921"/>
        </left>
        <right style="thin">
          <color theme="4" tint="0.39997558519241921"/>
        </right>
        <top style="thin">
          <color theme="4" tint="0.39997558519241921"/>
        </top>
        <bottom style="thin">
          <color theme="4" tint="0.3999755851924192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scheme val="minor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family val="2"/>
        <scheme val="minor"/>
      </font>
      <fill>
        <patternFill patternType="solid">
          <fgColor theme="4"/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</dxf>
    <dxf>
      <font>
        <color rgb="FFFF0000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170" formatCode="_-* #,##0_-;\-* #,##0_-;_-* &quot;-&quot;??_-;_-@_-"/>
    </dxf>
    <dxf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2" formatCode="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numFmt numFmtId="0" formatCode="General"/>
    </dxf>
    <dxf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4" formatCode="_(* #,##0.00_);_(* \(#,##0.00\);_(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</dxf>
    <dxf>
      <numFmt numFmtId="164" formatCode="_(* #,##0.00_);_(* \(#,##0.00\);_(* &quot;-&quot;??_);_(@_)"/>
    </dxf>
    <dxf>
      <numFmt numFmtId="30" formatCode="@"/>
    </dxf>
    <dxf>
      <numFmt numFmtId="30" formatCode="@"/>
    </dxf>
    <dxf>
      <numFmt numFmtId="30" formatCode="@"/>
    </dxf>
    <dxf>
      <numFmt numFmtId="30" formatCode="@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30" formatCode="@"/>
      <alignment horizontal="general" vertical="bottom" textRotation="0" wrapText="1" indent="0" justifyLastLine="0" shrinkToFit="0" readingOrder="0"/>
    </dxf>
    <dxf>
      <numFmt numFmtId="166" formatCode="mmm"/>
    </dxf>
    <dxf>
      <numFmt numFmtId="166" formatCode="mmm"/>
      <alignment horizontal="right" vertical="bottom" textRotation="0" wrapText="0" indent="0" justifyLastLine="0" shrinkToFit="0" readingOrder="0"/>
    </dxf>
    <dxf>
      <numFmt numFmtId="20" formatCode="dd\-mmm\-yy"/>
    </dxf>
    <dxf>
      <numFmt numFmtId="165" formatCode="dd\-mmm\-yyyy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pivotCacheDefinition" Target="pivotCache/pivotCacheDefinition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pivotCacheDefinition" Target="pivotCache/pivotCacheDefinition2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John Baker" refreshedDate="43664.401164930554" createdVersion="6" refreshedVersion="6" minRefreshableVersion="3" recordCount="19" xr:uid="{CBBAE5B2-06E8-489E-92F5-E221109D85C4}">
  <cacheSource type="worksheet">
    <worksheetSource name="Table24[Category]"/>
  </cacheSource>
  <cacheFields count="1">
    <cacheField name="Category" numFmtId="49">
      <sharedItems containsBlank="1" count="17">
        <s v="Balance B/Fwd."/>
        <s v="Precept"/>
        <s v="Clerk's Wages"/>
        <s v="Training &amp; Seminars"/>
        <s v="Neighbourhood Plan"/>
        <s v="Membership Fees"/>
        <s v="Grass Cutting"/>
        <s v="Other Maintenance"/>
        <s v="Clerk's Expenses"/>
        <s v="Parish Council expenses"/>
        <s v="Insurance"/>
        <m u="1"/>
        <s v="Miscellaneous (Inc)" u="1"/>
        <s v="Audit &amp; Governance" u="1"/>
        <s v="Stationery" u="1"/>
        <s v="Grants &amp; Donations" u="1"/>
        <s v="Hall Hire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icola Phillips" refreshedDate="45033.331272106479" createdVersion="6" refreshedVersion="8" minRefreshableVersion="3" recordCount="135" xr:uid="{DBFDE8B8-8882-406A-94A4-CA8BAFE05E72}">
  <cacheSource type="worksheet">
    <worksheetSource name="Table24"/>
  </cacheSource>
  <cacheFields count="14">
    <cacheField name="Document Date" numFmtId="165">
      <sharedItems containsSemiMixedTypes="0" containsNonDate="0" containsDate="1" containsString="0" minDate="2022-01-01T00:00:00" maxDate="2023-03-02T00:00:00"/>
    </cacheField>
    <cacheField name="Payt. Sched. Month" numFmtId="166">
      <sharedItems/>
    </cacheField>
    <cacheField name="Payee" numFmtId="49">
      <sharedItems containsBlank="1" count="196">
        <s v="opening balance"/>
        <s v="Dorset Council "/>
        <s v="Lamit Proerty Fund "/>
        <s v="Adams - Allotment"/>
        <s v="Allotment Ass"/>
        <s v="Nest DD"/>
        <s v="HMR Employers NI"/>
        <s v="N Phillips DD"/>
        <s v="British Telecome"/>
        <s v="BTC unprecented cheque"/>
        <s v="Leaks Tree Care"/>
        <s v="Dorset Waste Partnership"/>
        <s v="Blandford Town Council "/>
        <s v="Vision ICT"/>
        <s v="Martin Park"/>
        <s v="N Phillips"/>
        <s v="Information Comm Office"/>
        <s v="DAPTC "/>
        <s v="Mr Dallision - Queen Jubile"/>
        <s v="Mile allotment rent"/>
        <s v="Allotment ass Mile "/>
        <s v="Littleton Solar Farm"/>
        <s v="Blandford St Mary School"/>
        <s v="HMR Tax-Ni"/>
        <s v="HMR NI for eoy"/>
        <s v="HMR &amp; BSM unpresented payment"/>
        <s v="HMR"/>
        <s v="Cllr R Whitlock/FOBS"/>
        <s v="Cllr R Whitlock "/>
        <s v="HMR Vat return"/>
        <s v="Community Art Work "/>
        <s v="N Phillips Expenses"/>
        <s v="Ministry of Play "/>
        <s v="Viking Direct"/>
        <s v="Rapid Accounts"/>
        <s v="Lomit Property"/>
        <s v="HMR DD"/>
        <s v="N Phillip"/>
        <s v="T signs"/>
        <s v="PKF LittleJohn"/>
        <s v="HMR PAYE"/>
        <s v="BT Phone and Broadband"/>
        <s v="Allotment Association"/>
        <s v="Blanchards and Bailey"/>
        <s v="Cllr R Whitlock"/>
        <s v="PDF Suite - N Phillips"/>
        <s v="N Phillips "/>
        <s v="The Play Inspection Co"/>
        <s v="Royal British Legion"/>
        <s v="Lamit Property fund"/>
        <s v="Cllr Whitlock "/>
        <s v="Cllr Albery"/>
        <s v="Peter Robb Associates"/>
        <s v="Dorset Air Ambulance"/>
        <s v="Dorset Citizens advice"/>
        <s v="Ministry of Play" u="1"/>
        <m u="1"/>
        <s v="Dorset Waste " u="1"/>
        <s v="N Phillips Cilca Course" u="1"/>
        <s v="Nest" u="1"/>
        <s v="Milne allotment rent" u="1"/>
        <s v="Littleton Solar income" u="1"/>
        <s v="N Phillips clerk exp may &amp; june" u="1"/>
        <s v="K M P" u="1"/>
        <s v="T Signs play area" u="1"/>
        <s v="HM Revenue " u="1"/>
        <s v="St Johns Ambulance" u="1"/>
        <s v="N Phillips wages July" u="1"/>
        <s v="Nest " u="1"/>
        <s v="T Signs " u="1"/>
        <s v="Vision ICT " u="1"/>
        <s v="Bryanston Club" u="1"/>
        <s v="DAPTC Annual Sub" u="1"/>
        <s v="Nerst" u="1"/>
        <s v="Came &amp; Company" u="1"/>
        <s v="Citizens Advice " u="1"/>
        <s v="Martin Park inv 395" u="1"/>
        <s v="Viking " u="1"/>
        <s v="Wessex Water" u="1"/>
        <s v="Land Development serv" u="1"/>
        <s v="Rescue Rod" u="1"/>
        <s v="Cllr M Albery cll expeses" u="1"/>
        <s v="Came and Co insurance" u="1"/>
        <s v="Muddy Waters" u="1"/>
        <s v="Clerk Pension" u="1"/>
        <s v="Hall &amp; Woodhouse" u="1"/>
        <s v="N Phillips wage " u="1"/>
        <s v="Bt Annual phone bill" u="1"/>
        <s v="Hall and Woodhouse" u="1"/>
        <s v="Information Commissioner " u="1"/>
        <s v="The National Allotment ass" u="1"/>
        <s v="Langers &amp; Sons May" u="1"/>
        <s v="N Phillips Council exp phone " u="1"/>
        <s v="Clerk" u="1"/>
        <s v="Rapid Account audit" u="1"/>
        <s v="Play Inspection " u="1"/>
        <s v="C Tompsett Phone Box" u="1"/>
        <s v="Dorset Council (N Phillips)" u="1"/>
        <s v="KMP Little Birch Pre-School" u="1"/>
        <s v="N Phillips training" u="1"/>
        <s v="Blandford St Mary PCC " u="1"/>
        <s v="Air Ambulance working dog" u="1"/>
        <s v="DAPTC" u="1"/>
        <s v="NDDC 106 play area" u="1"/>
        <s v="AA membership " u="1"/>
        <s v="Community First" u="1"/>
        <s v="Litteton Solar Farm" u="1"/>
        <s v="The Royal British Legion " u="1"/>
        <s v="N Phillips Clerk wages April" u="1"/>
        <s v="Dorset Council" u="1"/>
        <s v="Information comm off" u="1"/>
        <s v="Savills" u="1"/>
        <s v="Community First Trading" u="1"/>
        <s v="N Phillips pension back pay" u="1"/>
        <s v="Precept" u="1"/>
        <s v="Minstry of Play" u="1"/>
        <s v="J Baker" u="1"/>
        <s v="K M Phillips " u="1"/>
        <s v="Cllr Tompsett -" u="1"/>
        <s v="Rapid Accounts Ltd" u="1"/>
        <s v="Mark Farwell Plant Hire" u="1"/>
        <s v="btc - BDP" u="1"/>
        <s v="Bryanston School" u="1"/>
        <s v="Blandford Town Council" u="1"/>
        <s v="Came &amp; Co" u="1"/>
        <s v="Stanley Dallison fund raising  " u="1"/>
        <s v="N Phillips cilca" u="1"/>
        <s v="Martin Park grass" u="1"/>
        <s v="Generous Benefactor" u="1"/>
        <s v="Apex" u="1"/>
        <s v="N Phillips Council exp" u="1"/>
        <s v="Play Inspection Co" u="1"/>
        <s v="N Phillips wages June" u="1"/>
        <s v="BTC refund" u="1"/>
        <s v="H M Revenue" u="1"/>
        <s v="HMR employees NI" u="1"/>
        <s v="refund BTC" u="1"/>
        <s v="Debbie Albery " u="1"/>
        <s v="KMP school steps" u="1"/>
        <s v="Vision ICT website" u="1"/>
        <s v="Clerk Expenses April" u="1"/>
        <s v="Langers &amp; Sons " u="1"/>
        <s v="DAPTC - annual sub" u="1"/>
        <s v="Blandford St Mary PCC Fabric Fund" u="1"/>
        <s v="Donation for Church " u="1"/>
        <s v="Normtec" u="1"/>
        <s v="Langers and Sons" u="1"/>
        <s v="N Phillips/Norton" u="1"/>
        <s v="DAPTC New Councillor train" u="1"/>
        <s v="Information Commissioners " u="1"/>
        <s v="Allotment payments in " u="1"/>
        <s v="Phillips - air ambulance" u="1"/>
        <s v="Cllr Whitlock play area exp" u="1"/>
        <s v="Citizens Advice B" u="1"/>
        <s v="Littleton Solar FA" u="1"/>
        <s v="N Phillips wages " u="1"/>
        <s v="Cll R Whitlock " u="1"/>
        <s v="Cllr Nolan Council" u="1"/>
        <s v="PKF Littlejohn LLP" u="1"/>
        <s v="Mark Hinsley trees" u="1"/>
        <s v="Community Art Workshop" u="1"/>
        <s v="NDDC" u="1"/>
        <s v="Martin Parish inv 367" u="1"/>
        <s v="Buy A Plan (N Phillips)" u="1"/>
        <s v="Mark Hinsley allotments" u="1"/>
        <s v="Pressure washer" u="1"/>
        <s v="dorset Council dog signs" u="1"/>
        <s v="British Telecome (AP)" u="1"/>
        <s v="BTC - safety check gym" u="1"/>
        <s v="Cllr C Conlons" u="1"/>
        <s v="Morgan Carey Architects" u="1"/>
        <s v="J P Baker accounts system " u="1"/>
        <s v="CILCA" u="1"/>
        <s v="N Phillips wages for May" u="1"/>
        <s v="pkf" u="1"/>
        <s v="Cllr C Gale bench" u="1"/>
        <s v="N Phillips Expenses " u="1"/>
        <s v="Lamit Property fund invest" u="1"/>
        <s v="Ministry of Play CB fund" u="1"/>
        <s v="Dorset Council bin collect" u="1"/>
        <s v="SEB" u="1"/>
        <s v="Balance " u="1"/>
        <s v="Vat return" u="1"/>
        <s v="N Phillips wages for June" u="1"/>
        <s v="N Phillips wages" u="1"/>
        <s v="HMR VAT" u="1"/>
        <s v="Air Ambulance " u="1"/>
        <s v="K M P builders" u="1"/>
        <s v="Martin Park inv 367" u="1"/>
        <s v="Savills phone box rent" u="1"/>
        <s v="N Phillips Office Furniture" u="1"/>
        <s v="KMP " u="1"/>
        <s v="Streetwise" u="1"/>
        <s v="Cllr C Tompsett" u="1"/>
        <s v="N Phillips March" u="1"/>
        <s v="Cheque Error" u="1"/>
      </sharedItems>
    </cacheField>
    <cacheField name="Detail" numFmtId="49">
      <sharedItems containsBlank="1" count="312">
        <s v="opening balance"/>
        <s v="Precept"/>
        <s v="Dividend"/>
        <s v="Allotment ass in"/>
        <s v="Allotment ass out"/>
        <s v="pension "/>
        <s v="employee NI"/>
        <s v="Clerk's Wages"/>
        <s v="Parish Council expenses "/>
        <s v="not paid agianst 2021"/>
        <s v="Highways maint "/>
        <s v="Waste Bins"/>
        <s v="outdoor gym"/>
        <s v="website"/>
        <s v="Grass Cutting"/>
        <s v="Clerk's Expenses"/>
        <s v="Membership Fees"/>
        <s v="Training &amp; Seminars"/>
        <s v="community benefit"/>
        <s v="Income from solar farm"/>
        <s v="Clerk wages "/>
        <s v="Donation Jubilee"/>
        <s v="outdoor gym (nov 2021)"/>
        <s v="Annual Sub "/>
        <s v="Clerk expenses May"/>
        <s v="Tax and NI "/>
        <s v="Employers NI Holiday Pay"/>
        <s v="Expenses Mar"/>
        <s v="Website hosting annual"/>
        <s v="Emial accounts"/>
        <s v="Friends of BSM Primary Sc"/>
        <s v="Flowers for resident "/>
        <s v="Clerk Pension"/>
        <s v="Vat Return"/>
        <s v="Grants 2021-2022"/>
        <s v="Clerk expenses June"/>
        <s v="Invoice 20259"/>
        <s v="Grass Cutting "/>
        <s v="Outdoor gym June"/>
        <s v="Stationery inc screen"/>
        <s v="Clerk Pension June"/>
        <s v="Clerk expenses"/>
        <s v="Internal Audit"/>
        <s v="Bus Stop pole"/>
        <s v="Safety Inspection July"/>
        <s v="Neighbourhood Plan"/>
        <s v="Safety Inspection March "/>
        <s v="Safety inspection Feb"/>
        <s v="Paye/NI/emp NI"/>
        <s v="Clerk wages July dd"/>
        <s v="Clerk pension July"/>
        <s v="Clerk wages Aug dd"/>
        <s v="Clerk Pension Aug"/>
        <s v="2 no signs Chettle Way"/>
        <s v="External Audit"/>
        <s v="Health &amp; safety Gym"/>
        <s v="Paye/NI/emp NI Aug"/>
        <s v="Clerk wages Sep dd"/>
        <s v="Clerk pension Sep"/>
        <s v="Paye/NI/emp NI Sep"/>
        <s v="Health &amp; safety Gym Aug"/>
        <s v="Clerk expenses Sep"/>
        <s v="Clerk wages October"/>
        <s v="cost for phone 2022/2023"/>
        <s v="Rent for allotments land"/>
        <s v="Land registary"/>
        <s v="Materials for sign"/>
        <s v="PDF converter "/>
        <s v="Outdoor gym "/>
        <s v="Emial hosing annual"/>
        <s v="error wrong account"/>
        <s v="Clerks expenses"/>
        <s v="Paye/NI/emp Ni Oct"/>
        <s v="Clerk wages Nov"/>
        <s v="Clerk expenses Nov"/>
        <s v="Play inspection"/>
        <s v="Supply and plant tree"/>
        <s v="Blandford +"/>
        <s v="Outdoor gym Aug"/>
        <s v="Poppy wreaths"/>
        <s v="Paye/NI/emp Ni Nov"/>
        <s v="Refund"/>
        <s v="balance for new sign"/>
        <s v="Travel Cost"/>
        <s v="interim fee for QS "/>
        <s v="Clerk wages Dec"/>
        <s v="Paye/ni/emp NI Dec"/>
        <s v="Notices"/>
        <s v="Outdoor gym Dec"/>
        <s v="Clerks exp &amp; hedge meet"/>
        <s v="Clerks wages"/>
        <s v="Clerk expenses Jan"/>
        <s v="Underpaid wages"/>
        <s v="Clerk's wages Feb"/>
        <s v="Paye/ni/emp ni Jan"/>
        <s v="Outdoor Gym Jan"/>
        <s v="Dog Signs"/>
        <s v="Professional Services"/>
        <s v="Clerks wages March"/>
        <s v="PAYE/Ni/Emp ni Feb"/>
        <s v="Grants 2022/2023"/>
        <s v="Clerk expenses March"/>
        <s v="Bins" u="1"/>
        <s v="DAPTC training" u="1"/>
        <s v="Play area sign " u="1"/>
        <s v="From monies held " u="1"/>
        <s v="Office home package an" u="1"/>
        <m u="1"/>
        <s v="Planning for allotments" u="1"/>
        <s v="3 x training councillors" u="1"/>
        <s v="Nest" u="1"/>
        <s v="Clerk Pension March" u="1"/>
        <s v="part payment fencing" u="1"/>
        <s v="site survey for trees " u="1"/>
        <s v="Parish Council expenses" u="1"/>
        <s v="Wages" u="1"/>
        <s v="Outdoor Gym H&amp;S" u="1"/>
        <s v="Clerk expenses July" u="1"/>
        <s v="cerk wages July" u="1"/>
        <s v="Work for Little Birch Pre " u="1"/>
        <s v="Health and safety stour Aug" u="1"/>
        <s v="Bryanston School notice board" u="1"/>
        <s v="BT Phone bill " u="1"/>
        <s v="Martin Park grass " u="1"/>
        <s v="Signs for play area" u="1"/>
        <s v="Community First Trading insurance " u="1"/>
        <s v="Stationery " u="1"/>
        <s v="Wages April " u="1"/>
        <s v="books" u="1"/>
        <s v="PC expenses ink " u="1"/>
        <s v="Employers NI June &amp; July" u="1"/>
        <s v="Clerk ex and training mil " u="1"/>
        <s v="memory card" u="1"/>
        <s v="hall hire/cancelled " u="1"/>
        <s v="Wreath" u="1"/>
        <s v="Play Area 106" u="1"/>
        <s v="Safety inspection" u="1"/>
        <s v="Licence for water works" u="1"/>
        <s v="HMR emp NI June" u="1"/>
        <s v="Clerk Pension for July" u="1"/>
        <s v="Expenses March (not paid)" u="1"/>
        <s v="Grass Cutting Aug" u="1"/>
        <s v="12 x full 1 x 1/2 " u="1"/>
        <s v="Licence to use accounts sys" u="1"/>
        <s v="phone box rent" u="1"/>
        <s v="Clerk wages July" u="1"/>
        <s v="exp may and june" u="1"/>
        <s v="Council exps phone box" u="1"/>
        <s v="Remove stumps allotment" u="1"/>
        <s v="1/4 cost for new cilca course" u="1"/>
        <s v="AA wheelbarrow" u="1"/>
        <s v="Allotment site" u="1"/>
        <s v="dividend interest" u="1"/>
        <s v="Donations" u="1"/>
        <s v="Emptying bins " u="1"/>
        <s v="play inspection " u="1"/>
        <s v="Operation London Bridge" u="1"/>
        <s v="Play area" u="1"/>
        <s v="Parish Council expes" u="1"/>
        <s v="Bollards for play area" u="1"/>
        <s v="Water Supply allot" u="1"/>
        <s v="Grant " u="1"/>
        <s v="Allotments" u="1"/>
        <s v="play area paint" u="1"/>
        <s v="Grass cutting July" u="1"/>
        <s v="Employers NI August" u="1"/>
        <s v="Neighbourhood Plan " u="1"/>
        <s v="Stationary inc ink eoy" u="1"/>
        <s v="exp March &amp; Apr" u="1"/>
        <s v="HMR emp Ni July" u="1"/>
        <s v="Members payments" u="1"/>
        <s v="Keys for gate locks" u="1"/>
        <s v="Clek pension " u="1"/>
        <s v="Hall hire to 4th may 2022" u="1"/>
        <s v="wages Aug" u="1"/>
        <s v="Dorset Council" u="1"/>
        <s v="Bryanston Club Hall Hire" u="1"/>
        <s v="training" u="1"/>
        <s v="health and safety 113" u="1"/>
        <s v="Grant for air ambulance " u="1"/>
        <s v="health and safety stour " u="1"/>
        <s v="Play area  (already paid)" u="1"/>
        <s v="HMR emp NI April" u="1"/>
        <s v="Clerk pension April" u="1"/>
        <s v="Wages May" u="1"/>
        <s v="HMR employers NI" u="1"/>
        <s v="Safety check meadows" u="1"/>
        <s v="Pension (already paid)" u="1"/>
        <s v="Safety inspection June" u="1"/>
        <s v="wages " u="1"/>
        <s v="Training Clerk" u="1"/>
        <s v="grass cutting Oct" u="1"/>
        <s v="repairs to fencing " u="1"/>
        <s v="Pension standing order" u="1"/>
        <s v="Insurance" u="1"/>
        <s v="PC Insurance" u="1"/>
        <s v="stationery already paid" u="1"/>
        <s v="1/4 interest" u="1"/>
        <s v="employers ni" u="1"/>
        <s v="Clerk wages Aug" u="1"/>
        <s v="Stationery" u="1"/>
        <s v=" notice board" u="1"/>
        <s v="dec and Jan expenses" u="1"/>
        <s v="1st payment cut church yard" u="1"/>
        <s v="Village Hall" u="1"/>
        <s v="phone bill annual" u="1"/>
        <s v="health and safety stour July" u="1"/>
        <s v="BTC refund" u="1"/>
        <s v="expenses" u="1"/>
        <s v="consultant" u="1"/>
        <s v="Computer security" u="1"/>
        <s v="expenses july and aug" u="1"/>
        <s v="wages SO" u="1"/>
        <s v="Wages June" u="1"/>
        <s v="Annual rent" u="1"/>
        <s v="Donation (In)" u="1"/>
        <s v="Grass Cutting June" u="1"/>
        <s v="Expenses work at home" u="1"/>
        <s v="Final invoice for fencing" u="1"/>
        <s v="refund BTC" u="1"/>
        <s v="no parking signs" u="1"/>
        <s v="wesbite annual sub" u="1"/>
        <s v="work from home exp" u="1"/>
        <s v="New filing Cabinet " u="1"/>
        <s v="safety inspection May" u="1"/>
        <s v="Grass cutting contract " u="1"/>
        <s v="DAPTC - annual sub" u="1"/>
        <s v="Cllr Tompsett - phone box" u="1"/>
        <s v="Clerk pension " u="1"/>
        <s v="expenses Sep &amp; Oct" u="1"/>
        <s v="Donation for Church " u="1"/>
        <s v="investment" u="1"/>
        <s v="website hosting " u="1"/>
        <s v="play area repairs" u="1"/>
        <s v="play area and ball court" u="1"/>
        <s v="expenses " u="1"/>
        <s v="Employers NI " u="1"/>
        <s v="Clerk wages Sep" u="1"/>
        <s v="Outdoor gym h/s insp" u="1"/>
        <s v="Bank mistake on amount" u="1"/>
        <s v="Clerk pension for Aug" u="1"/>
        <s v="Balance from 2019-2020" u="1"/>
        <s v="Fitness equipment inspec" u="1"/>
        <s v="Information Commissioners " u="1"/>
        <s v="Exp July and Aug" u="1"/>
        <s v="Maps for planning " u="1"/>
        <s v="Clear land for allotments" u="1"/>
        <s v="Hmr emp NI May" u="1"/>
        <s v="data protections" u="1"/>
        <s v="Phone Bill/broadband" u="1"/>
        <s v="Accesibility report" u="1"/>
        <s v="106 income play area" u="1"/>
        <s v="NDP" u="1"/>
        <s v="13 x full 1 x 1/2 " u="1"/>
        <s v="Paint for play area" u="1"/>
        <s v="Pension May" u="1"/>
        <s v="Internal Auditor" u="1"/>
        <s v="Safety Equipment " u="1"/>
        <s v="Planning Dep Appl" u="1"/>
        <s v="grass cutting amended " u="1"/>
        <s v="Annual phone bill" u="1"/>
        <s v="health and safety 121" u="1"/>
        <s v="play area sign" u="1"/>
        <s v="Clerk Pension May" u="1"/>
        <s v="Clerk expenses Aug" u="1"/>
        <s v="DAPTC - annual conf" u="1"/>
        <s v="Black screen website" u="1"/>
        <s v="Clerks wages for May" u="1"/>
        <s v="Church yard 1/2 payment" u="1"/>
        <s v=" Grant Toielts" u="1"/>
        <s v="Gate lock dorchester hill" u="1"/>
        <s v="School donation " u="1"/>
        <s v="Church Wall donation" u="1"/>
        <s v="clerks wages for june" u="1"/>
        <s v="membership for AA" u="1"/>
        <s v="Clerk expenses " u="1"/>
        <s v="safety inspeciton Aug" u="1"/>
        <s v="Cl Exp" u="1"/>
        <s v=" wages Feb" u="1"/>
        <s v="wages July" u="1"/>
        <s v="Fell 12 ash trees" u="1"/>
        <s v="audit 2018" u="1"/>
        <s v="phone bill" u="1"/>
        <s v="Repair to gate allotment" u="1"/>
        <s v="Church yard grass cut 1/2" u="1"/>
        <s v="skate park H&amp;S" u="1"/>
        <s v="repairs for laptop" u="1"/>
        <s v="Site plans for allotments" u="1"/>
        <s v=" NDP fees" u="1"/>
        <s v="Annual Sub" u="1"/>
        <s v=" audit 2017" u="1"/>
        <s v="Employers NI Jan" u="1"/>
        <s v="Donation wall repairs" u="1"/>
        <s v="dividend (already paid)" u="1"/>
        <s v="Monies from allot holder" u="1"/>
        <s v="Clerk wages" u="1"/>
        <s v="annual income" u="1"/>
        <s v="allotment rent" u="1"/>
        <s v="Allotment water supply" u="1"/>
        <s v="Health and Safety" u="1"/>
        <s v="Solar Power income" u="1"/>
        <s v="Plans for village hall" u="1"/>
        <s v="HMR emp Ni Aug" u="1"/>
        <s v="Grant for toilet " u="1"/>
        <s v="Play Area equipment" u="1"/>
        <s v="wages standing order" u="1"/>
        <s v="NDP costs" u="1"/>
        <s v="Play area " u="1"/>
        <s v="Cllr C Tompsett" u="1"/>
        <s v="grass cut" u="1"/>
        <s v="Poppy wreath" u="1"/>
        <s v="Water supply donation" u="1"/>
      </sharedItems>
    </cacheField>
    <cacheField name="Doc. Ref." numFmtId="49">
      <sharedItems containsNonDate="0" containsString="0" containsBlank="1"/>
    </cacheField>
    <cacheField name="Category" numFmtId="49">
      <sharedItems containsBlank="1"/>
    </cacheField>
    <cacheField name="VAT Included" numFmtId="44">
      <sharedItems containsString="0" containsBlank="1" containsNumber="1" minValue="0" maxValue="715.11"/>
    </cacheField>
    <cacheField name="Expense Amount" numFmtId="44">
      <sharedItems containsString="0" containsBlank="1" containsNumber="1" minValue="0" maxValue="4290.66"/>
    </cacheField>
    <cacheField name="Exp. Not Yet Paid" numFmtId="44">
      <sharedItems containsNonDate="0" containsString="0" containsBlank="1"/>
    </cacheField>
    <cacheField name="Receipt Amount" numFmtId="44">
      <sharedItems containsString="0" containsBlank="1" containsNumber="1" minValue="6" maxValue="22667.439999999999"/>
    </cacheField>
    <cacheField name="Cash Book Balance" numFmtId="44">
      <sharedItems containsSemiMixedTypes="0" containsString="0" containsNumber="1" minValue="27567.759999999998" maxValue="57214.459999999992"/>
    </cacheField>
    <cacheField name="Cleared the Bank" numFmtId="0">
      <sharedItems containsBlank="1" count="3">
        <s v="Yes"/>
        <s v="no"/>
        <m u="1"/>
      </sharedItems>
    </cacheField>
    <cacheField name="Bank Balance" numFmtId="2">
      <sharedItems containsSemiMixedTypes="0" containsString="0" containsNumber="1" minValue="0" maxValue="29646.699999999997"/>
    </cacheField>
    <cacheField name="PeriodNumber" numFmtId="170">
      <sharedItems containsSemiMixedTypes="0" containsString="0" containsNumber="1" containsInteger="1" minValue="1" maxValue="1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9">
  <r>
    <x v="0"/>
  </r>
  <r>
    <x v="1"/>
  </r>
  <r>
    <x v="2"/>
  </r>
  <r>
    <x v="3"/>
  </r>
  <r>
    <x v="4"/>
  </r>
  <r>
    <x v="5"/>
  </r>
  <r>
    <x v="6"/>
  </r>
  <r>
    <x v="7"/>
  </r>
  <r>
    <x v="5"/>
  </r>
  <r>
    <x v="8"/>
  </r>
  <r>
    <x v="7"/>
  </r>
  <r>
    <x v="7"/>
  </r>
  <r>
    <x v="2"/>
  </r>
  <r>
    <x v="6"/>
  </r>
  <r>
    <x v="9"/>
  </r>
  <r>
    <x v="10"/>
  </r>
  <r>
    <x v="7"/>
  </r>
  <r>
    <x v="8"/>
  </r>
  <r>
    <x v="6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35">
  <r>
    <d v="2022-04-01T00:00:00"/>
    <s v="Apr"/>
    <x v="0"/>
    <x v="0"/>
    <m/>
    <m/>
    <m/>
    <m/>
    <m/>
    <m/>
    <n v="27567.759999999998"/>
    <x v="0"/>
    <n v="0"/>
    <n v="1"/>
  </r>
  <r>
    <d v="2022-04-01T00:00:00"/>
    <s v="Apr"/>
    <x v="1"/>
    <x v="1"/>
    <m/>
    <s v="Precept"/>
    <m/>
    <m/>
    <m/>
    <n v="12775"/>
    <n v="40342.759999999995"/>
    <x v="0"/>
    <n v="12775"/>
    <n v="1"/>
  </r>
  <r>
    <d v="2022-04-01T00:00:00"/>
    <s v="Apr"/>
    <x v="2"/>
    <x v="2"/>
    <m/>
    <s v="Dividend"/>
    <m/>
    <m/>
    <m/>
    <n v="216.13"/>
    <n v="40558.889999999992"/>
    <x v="0"/>
    <n v="12991.13"/>
    <n v="1"/>
  </r>
  <r>
    <d v="2022-04-01T00:00:00"/>
    <s v="Apr"/>
    <x v="3"/>
    <x v="3"/>
    <m/>
    <s v="Allotment ass in"/>
    <m/>
    <m/>
    <m/>
    <n v="24"/>
    <n v="40582.889999999992"/>
    <x v="0"/>
    <n v="13015.13"/>
    <n v="1"/>
  </r>
  <r>
    <d v="2022-04-01T00:00:00"/>
    <s v="Apr"/>
    <x v="4"/>
    <x v="4"/>
    <m/>
    <s v="Allotment ass out"/>
    <m/>
    <n v="24"/>
    <m/>
    <m/>
    <n v="40558.889999999992"/>
    <x v="0"/>
    <n v="12991.13"/>
    <n v="1"/>
  </r>
  <r>
    <d v="2022-04-01T00:00:00"/>
    <s v="Apr"/>
    <x v="5"/>
    <x v="5"/>
    <m/>
    <s v="pension "/>
    <m/>
    <n v="53.06"/>
    <m/>
    <m/>
    <n v="40505.829999999994"/>
    <x v="0"/>
    <n v="12938.07"/>
    <n v="1"/>
  </r>
  <r>
    <d v="2022-04-01T00:00:00"/>
    <s v="Apr"/>
    <x v="6"/>
    <x v="6"/>
    <m/>
    <s v="employee NI/Tax"/>
    <m/>
    <n v="70.81"/>
    <m/>
    <m/>
    <n v="40435.019999999997"/>
    <x v="0"/>
    <n v="12867.26"/>
    <n v="1"/>
  </r>
  <r>
    <d v="2022-04-01T00:00:00"/>
    <s v="Apr"/>
    <x v="7"/>
    <x v="7"/>
    <m/>
    <s v="Clerk's Wages"/>
    <m/>
    <n v="1228.5"/>
    <m/>
    <m/>
    <n v="39206.519999999997"/>
    <x v="0"/>
    <n v="11638.76"/>
    <n v="1"/>
  </r>
  <r>
    <d v="2022-04-01T00:00:00"/>
    <s v="Apr"/>
    <x v="8"/>
    <x v="8"/>
    <m/>
    <s v="Parish Council expenses"/>
    <n v="29.6"/>
    <n v="177.59"/>
    <m/>
    <m/>
    <n v="39028.93"/>
    <x v="0"/>
    <n v="11461.17"/>
    <n v="1"/>
  </r>
  <r>
    <d v="2022-04-01T00:00:00"/>
    <s v="Apr"/>
    <x v="9"/>
    <x v="9"/>
    <m/>
    <s v="Highways maint "/>
    <m/>
    <n v="0"/>
    <m/>
    <n v="232.32"/>
    <n v="39261.25"/>
    <x v="0"/>
    <n v="11693.49"/>
    <n v="1"/>
  </r>
  <r>
    <d v="2022-04-01T00:00:00"/>
    <s v="Apr"/>
    <x v="10"/>
    <x v="10"/>
    <m/>
    <s v="Allotment"/>
    <m/>
    <n v="500"/>
    <m/>
    <m/>
    <n v="38761.25"/>
    <x v="0"/>
    <n v="11193.49"/>
    <n v="1"/>
  </r>
  <r>
    <d v="2022-04-01T00:00:00"/>
    <s v="Apr"/>
    <x v="11"/>
    <x v="11"/>
    <m/>
    <s v="Waste Bins"/>
    <m/>
    <n v="1697.28"/>
    <m/>
    <m/>
    <n v="37063.97"/>
    <x v="0"/>
    <n v="9496.2099999999991"/>
    <n v="1"/>
  </r>
  <r>
    <d v="2022-04-01T00:00:00"/>
    <s v="Apr"/>
    <x v="12"/>
    <x v="12"/>
    <m/>
    <s v="outdoor gym"/>
    <n v="11.08"/>
    <n v="66.48"/>
    <m/>
    <m/>
    <n v="36997.49"/>
    <x v="0"/>
    <n v="9429.73"/>
    <n v="1"/>
  </r>
  <r>
    <d v="2022-04-01T00:00:00"/>
    <s v="Apr"/>
    <x v="13"/>
    <x v="13"/>
    <m/>
    <s v="website"/>
    <n v="13"/>
    <n v="78"/>
    <m/>
    <m/>
    <n v="36919.49"/>
    <x v="0"/>
    <n v="9351.73"/>
    <n v="1"/>
  </r>
  <r>
    <d v="2022-04-01T00:00:00"/>
    <s v="Apr"/>
    <x v="14"/>
    <x v="14"/>
    <m/>
    <s v="Grass Cutting"/>
    <n v="263"/>
    <n v="1578"/>
    <m/>
    <m/>
    <n v="35341.49"/>
    <x v="0"/>
    <n v="7773.73"/>
    <n v="1"/>
  </r>
  <r>
    <d v="2022-04-01T00:00:00"/>
    <s v="Apr"/>
    <x v="15"/>
    <x v="15"/>
    <m/>
    <s v="Clerk's Expenses"/>
    <m/>
    <n v="70.989999999999995"/>
    <m/>
    <m/>
    <n v="35270.5"/>
    <x v="0"/>
    <n v="7702.74"/>
    <n v="1"/>
  </r>
  <r>
    <d v="2022-04-01T00:00:00"/>
    <s v="Apr"/>
    <x v="12"/>
    <x v="12"/>
    <m/>
    <s v="outdoor gym"/>
    <n v="11.08"/>
    <n v="66.48"/>
    <m/>
    <m/>
    <n v="35204.019999999997"/>
    <x v="0"/>
    <n v="7636.26"/>
    <n v="1"/>
  </r>
  <r>
    <d v="2022-04-01T00:00:00"/>
    <s v="Apr"/>
    <x v="16"/>
    <x v="16"/>
    <m/>
    <s v="Membership Fees"/>
    <m/>
    <n v="35"/>
    <m/>
    <m/>
    <n v="35169.019999999997"/>
    <x v="0"/>
    <n v="7601.26"/>
    <n v="1"/>
  </r>
  <r>
    <d v="2022-04-01T00:00:00"/>
    <s v="Apr"/>
    <x v="17"/>
    <x v="17"/>
    <m/>
    <s v="Training &amp; Seminars"/>
    <m/>
    <n v="35"/>
    <m/>
    <m/>
    <n v="35134.019999999997"/>
    <x v="0"/>
    <n v="7566.26"/>
    <n v="1"/>
  </r>
  <r>
    <d v="2022-04-01T00:00:00"/>
    <s v="Apr"/>
    <x v="18"/>
    <x v="18"/>
    <m/>
    <s v="community benefit"/>
    <m/>
    <n v="500"/>
    <m/>
    <m/>
    <n v="34634.019999999997"/>
    <x v="0"/>
    <n v="7066.26"/>
    <n v="1"/>
  </r>
  <r>
    <d v="2022-04-01T00:00:00"/>
    <s v="Apr"/>
    <x v="19"/>
    <x v="3"/>
    <m/>
    <s v="Allotment ass in"/>
    <m/>
    <m/>
    <m/>
    <n v="6"/>
    <n v="34640.019999999997"/>
    <x v="0"/>
    <n v="7072.26"/>
    <n v="1"/>
  </r>
  <r>
    <d v="2022-04-01T00:00:00"/>
    <s v="Apr"/>
    <x v="20"/>
    <x v="4"/>
    <m/>
    <s v="Allotment ass out"/>
    <m/>
    <n v="6"/>
    <m/>
    <m/>
    <n v="34634.019999999997"/>
    <x v="0"/>
    <n v="7066.26"/>
    <n v="1"/>
  </r>
  <r>
    <d v="2022-04-01T00:00:00"/>
    <s v="Apr"/>
    <x v="6"/>
    <x v="6"/>
    <m/>
    <s v="employee NI/Tax"/>
    <m/>
    <n v="87"/>
    <m/>
    <m/>
    <n v="34547.019999999997"/>
    <x v="0"/>
    <n v="6979.26"/>
    <n v="1"/>
  </r>
  <r>
    <d v="2022-05-01T00:00:00"/>
    <s v="May"/>
    <x v="21"/>
    <x v="19"/>
    <m/>
    <s v="solar panel in"/>
    <m/>
    <m/>
    <m/>
    <n v="22667.439999999999"/>
    <n v="57214.459999999992"/>
    <x v="0"/>
    <n v="29646.699999999997"/>
    <n v="2"/>
  </r>
  <r>
    <d v="2022-05-01T00:00:00"/>
    <s v="May"/>
    <x v="15"/>
    <x v="20"/>
    <m/>
    <s v="Clerk's Wages"/>
    <m/>
    <n v="982.77"/>
    <m/>
    <m/>
    <n v="56231.689999999995"/>
    <x v="0"/>
    <n v="28663.93"/>
    <n v="2"/>
  </r>
  <r>
    <d v="2022-05-01T00:00:00"/>
    <s v="May"/>
    <x v="22"/>
    <x v="21"/>
    <m/>
    <s v="Grants &amp; Donations"/>
    <m/>
    <n v="142"/>
    <m/>
    <m/>
    <n v="56089.689999999995"/>
    <x v="0"/>
    <n v="28521.93"/>
    <n v="2"/>
  </r>
  <r>
    <d v="2022-05-01T00:00:00"/>
    <s v="May"/>
    <x v="12"/>
    <x v="22"/>
    <m/>
    <s v="outdoor gym"/>
    <n v="11.08"/>
    <n v="66.48"/>
    <m/>
    <m/>
    <n v="56023.209999999992"/>
    <x v="0"/>
    <n v="28455.45"/>
    <n v="2"/>
  </r>
  <r>
    <d v="2022-05-01T00:00:00"/>
    <s v="May"/>
    <x v="17"/>
    <x v="23"/>
    <m/>
    <s v="Membership Fees"/>
    <m/>
    <n v="557.65"/>
    <m/>
    <m/>
    <n v="55465.55999999999"/>
    <x v="0"/>
    <n v="27897.8"/>
    <n v="2"/>
  </r>
  <r>
    <d v="2022-05-01T00:00:00"/>
    <s v="May"/>
    <x v="15"/>
    <x v="24"/>
    <m/>
    <s v="Clerk's Expenses"/>
    <m/>
    <n v="86.24"/>
    <m/>
    <m/>
    <n v="55379.319999999992"/>
    <x v="0"/>
    <n v="27811.559999999998"/>
    <n v="2"/>
  </r>
  <r>
    <d v="2022-05-01T00:00:00"/>
    <s v="May"/>
    <x v="23"/>
    <x v="25"/>
    <m/>
    <s v="employee NI/Tax"/>
    <m/>
    <n v="316.54000000000002"/>
    <m/>
    <m/>
    <n v="55062.779999999992"/>
    <x v="0"/>
    <n v="27495.02"/>
    <n v="2"/>
  </r>
  <r>
    <d v="2022-05-01T00:00:00"/>
    <s v="May"/>
    <x v="24"/>
    <x v="26"/>
    <m/>
    <s v="employee NI/Tax"/>
    <m/>
    <n v="185.47"/>
    <m/>
    <m/>
    <n v="54877.30999999999"/>
    <x v="0"/>
    <n v="27309.55"/>
    <n v="2"/>
  </r>
  <r>
    <d v="2022-05-01T00:00:00"/>
    <s v="May"/>
    <x v="25"/>
    <x v="9"/>
    <m/>
    <s v="employee NI/Tax"/>
    <m/>
    <n v="0"/>
    <m/>
    <n v="65.94"/>
    <n v="54943.249999999993"/>
    <x v="0"/>
    <n v="27375.489999999998"/>
    <n v="2"/>
  </r>
  <r>
    <d v="2022-04-01T00:00:00"/>
    <s v="Apr"/>
    <x v="15"/>
    <x v="27"/>
    <m/>
    <s v="Clerk's Expenses"/>
    <m/>
    <n v="0"/>
    <m/>
    <m/>
    <n v="54943.249999999993"/>
    <x v="0"/>
    <n v="27309.55"/>
    <n v="1"/>
  </r>
  <r>
    <d v="2022-05-01T00:00:00"/>
    <s v="May"/>
    <x v="14"/>
    <x v="14"/>
    <m/>
    <s v="Grass Cutting"/>
    <n v="109"/>
    <n v="654"/>
    <m/>
    <m/>
    <n v="54289.249999999993"/>
    <x v="0"/>
    <n v="26655.55"/>
    <n v="2"/>
  </r>
  <r>
    <d v="2022-05-01T00:00:00"/>
    <s v="May"/>
    <x v="13"/>
    <x v="28"/>
    <m/>
    <s v="website"/>
    <n v="37.630000000000003"/>
    <n v="225.76"/>
    <m/>
    <m/>
    <n v="54063.489999999991"/>
    <x v="0"/>
    <n v="26429.79"/>
    <n v="2"/>
  </r>
  <r>
    <d v="2022-05-01T00:00:00"/>
    <s v="May"/>
    <x v="13"/>
    <x v="29"/>
    <m/>
    <s v="website"/>
    <n v="3.6"/>
    <n v="21.6"/>
    <m/>
    <m/>
    <n v="54041.889999999992"/>
    <x v="0"/>
    <n v="26408.190000000002"/>
    <n v="2"/>
  </r>
  <r>
    <d v="2022-05-01T00:00:00"/>
    <s v="May"/>
    <x v="26"/>
    <x v="25"/>
    <m/>
    <s v="employee NI/Tax"/>
    <m/>
    <n v="316.54000000000002"/>
    <m/>
    <m/>
    <n v="53725.349999999991"/>
    <x v="0"/>
    <n v="26091.649999999998"/>
    <n v="2"/>
  </r>
  <r>
    <d v="2022-05-01T00:00:00"/>
    <s v="May"/>
    <x v="26"/>
    <x v="26"/>
    <m/>
    <s v="employee NI/Tax"/>
    <m/>
    <n v="158.72999999999999"/>
    <m/>
    <m/>
    <n v="53566.619999999988"/>
    <x v="0"/>
    <n v="25932.920000000002"/>
    <n v="2"/>
  </r>
  <r>
    <d v="2022-06-01T00:00:00"/>
    <s v="Jun"/>
    <x v="27"/>
    <x v="30"/>
    <m/>
    <s v="community benefit"/>
    <m/>
    <n v="100"/>
    <m/>
    <m/>
    <n v="53466.619999999988"/>
    <x v="0"/>
    <n v="25832.92"/>
    <n v="3"/>
  </r>
  <r>
    <d v="2022-06-01T00:00:00"/>
    <s v="Jun"/>
    <x v="28"/>
    <x v="31"/>
    <m/>
    <s v="community benefit"/>
    <m/>
    <n v="50"/>
    <m/>
    <m/>
    <n v="53416.619999999988"/>
    <x v="0"/>
    <n v="25782.92"/>
    <n v="3"/>
  </r>
  <r>
    <d v="2022-06-01T00:00:00"/>
    <s v="Jun"/>
    <x v="15"/>
    <x v="20"/>
    <m/>
    <s v="Clerk's Wages"/>
    <m/>
    <n v="982.77"/>
    <m/>
    <m/>
    <n v="52433.849999999991"/>
    <x v="0"/>
    <n v="24800.149999999998"/>
    <n v="3"/>
  </r>
  <r>
    <d v="2022-06-01T00:00:00"/>
    <s v="Jun"/>
    <x v="5"/>
    <x v="32"/>
    <m/>
    <s v="pension "/>
    <m/>
    <n v="53.06"/>
    <m/>
    <m/>
    <n v="52380.789999999994"/>
    <x v="0"/>
    <n v="24747.09"/>
    <n v="3"/>
  </r>
  <r>
    <d v="2022-06-01T00:00:00"/>
    <s v="Jun"/>
    <x v="29"/>
    <x v="33"/>
    <m/>
    <s v="VAT Refund"/>
    <m/>
    <m/>
    <m/>
    <n v="4320.8599999999997"/>
    <n v="56701.649999999994"/>
    <x v="0"/>
    <n v="29067.95"/>
    <n v="3"/>
  </r>
  <r>
    <d v="2022-03-01T00:00:00"/>
    <s v="Jun"/>
    <x v="30"/>
    <x v="34"/>
    <m/>
    <s v="community benefit"/>
    <m/>
    <n v="0"/>
    <m/>
    <m/>
    <n v="56701.649999999994"/>
    <x v="0"/>
    <n v="29067.95"/>
    <n v="3"/>
  </r>
  <r>
    <d v="2022-06-01T00:00:00"/>
    <s v="Jun"/>
    <x v="31"/>
    <x v="35"/>
    <m/>
    <s v="Clerk's Expenses"/>
    <m/>
    <n v="88.24"/>
    <m/>
    <m/>
    <n v="56613.409999999996"/>
    <x v="0"/>
    <n v="28979.71"/>
    <n v="3"/>
  </r>
  <r>
    <d v="2022-06-01T00:00:00"/>
    <s v="Jun"/>
    <x v="32"/>
    <x v="36"/>
    <m/>
    <s v="community benefit"/>
    <n v="715.11"/>
    <n v="4290.66"/>
    <m/>
    <m/>
    <n v="52322.75"/>
    <x v="0"/>
    <n v="24689.05"/>
    <n v="3"/>
  </r>
  <r>
    <d v="2022-06-01T00:00:00"/>
    <s v="Jun"/>
    <x v="14"/>
    <x v="37"/>
    <m/>
    <s v="Grass Cutting"/>
    <n v="109"/>
    <n v="654"/>
    <m/>
    <m/>
    <n v="51668.75"/>
    <x v="0"/>
    <n v="24035.05"/>
    <n v="3"/>
  </r>
  <r>
    <d v="2022-06-01T00:00:00"/>
    <s v="Jun"/>
    <x v="12"/>
    <x v="38"/>
    <m/>
    <s v="outdoor gym"/>
    <n v="11.08"/>
    <n v="66.48"/>
    <m/>
    <m/>
    <n v="51602.27"/>
    <x v="0"/>
    <n v="23968.57"/>
    <n v="3"/>
  </r>
  <r>
    <d v="2022-06-01T00:00:00"/>
    <s v="Jun"/>
    <x v="33"/>
    <x v="39"/>
    <m/>
    <s v="Stationery"/>
    <n v="42.42"/>
    <n v="254.54"/>
    <m/>
    <m/>
    <n v="51347.729999999996"/>
    <x v="0"/>
    <n v="23714.03"/>
    <n v="3"/>
  </r>
  <r>
    <d v="2022-07-01T00:00:00"/>
    <s v="Jul"/>
    <x v="5"/>
    <x v="40"/>
    <m/>
    <s v="Clerk's Wages"/>
    <m/>
    <n v="53.06"/>
    <m/>
    <m/>
    <n v="51294.67"/>
    <x v="0"/>
    <n v="23660.969999999998"/>
    <n v="4"/>
  </r>
  <r>
    <d v="2022-07-01T00:00:00"/>
    <s v="Jul"/>
    <x v="15"/>
    <x v="41"/>
    <m/>
    <s v="Clerk's Expenses"/>
    <m/>
    <n v="88.24"/>
    <m/>
    <m/>
    <n v="51206.43"/>
    <x v="0"/>
    <n v="23572.73"/>
    <n v="4"/>
  </r>
  <r>
    <d v="2022-07-01T00:00:00"/>
    <s v="Jul"/>
    <x v="34"/>
    <x v="42"/>
    <m/>
    <s v="Audit &amp; Governance"/>
    <n v="48"/>
    <n v="288"/>
    <m/>
    <m/>
    <n v="50918.43"/>
    <x v="0"/>
    <n v="23284.73"/>
    <n v="4"/>
  </r>
  <r>
    <d v="2022-07-01T00:00:00"/>
    <s v="Jul"/>
    <x v="1"/>
    <x v="43"/>
    <m/>
    <s v="Highways maint "/>
    <n v="82"/>
    <n v="492"/>
    <m/>
    <m/>
    <n v="50426.43"/>
    <x v="0"/>
    <n v="22792.73"/>
    <n v="4"/>
  </r>
  <r>
    <d v="2022-07-01T00:00:00"/>
    <s v="Jul"/>
    <x v="12"/>
    <x v="44"/>
    <m/>
    <s v="outdoor gym"/>
    <n v="13.85"/>
    <n v="83.1"/>
    <m/>
    <m/>
    <n v="50343.33"/>
    <x v="0"/>
    <n v="22709.63"/>
    <n v="4"/>
  </r>
  <r>
    <d v="2022-07-01T00:00:00"/>
    <s v="Jul"/>
    <x v="12"/>
    <x v="45"/>
    <m/>
    <s v="Neighbourhood Plan"/>
    <n v="8.4"/>
    <n v="50.4"/>
    <m/>
    <m/>
    <n v="50292.93"/>
    <x v="0"/>
    <n v="22659.23"/>
    <n v="4"/>
  </r>
  <r>
    <d v="2022-07-01T00:00:00"/>
    <s v="Jul"/>
    <x v="12"/>
    <x v="46"/>
    <m/>
    <s v="outdoor gym"/>
    <n v="16.62"/>
    <n v="99.72"/>
    <m/>
    <m/>
    <n v="50193.21"/>
    <x v="0"/>
    <n v="22559.51"/>
    <n v="4"/>
  </r>
  <r>
    <d v="2022-07-01T00:00:00"/>
    <s v="Jul"/>
    <x v="12"/>
    <x v="47"/>
    <m/>
    <s v="outdoor gym"/>
    <n v="16.62"/>
    <n v="99.72"/>
    <m/>
    <m/>
    <n v="50093.49"/>
    <x v="0"/>
    <n v="22459.789999999997"/>
    <n v="4"/>
  </r>
  <r>
    <d v="2022-07-01T00:00:00"/>
    <s v="Jul"/>
    <x v="14"/>
    <x v="14"/>
    <m/>
    <s v="Grass Cutting"/>
    <n v="109"/>
    <n v="654"/>
    <m/>
    <m/>
    <n v="49439.49"/>
    <x v="0"/>
    <n v="21805.79"/>
    <n v="4"/>
  </r>
  <r>
    <d v="2022-07-01T00:00:00"/>
    <s v="Jul"/>
    <x v="35"/>
    <x v="2"/>
    <m/>
    <s v="Dividend"/>
    <m/>
    <m/>
    <m/>
    <n v="221.16"/>
    <n v="49660.65"/>
    <x v="0"/>
    <n v="22026.95"/>
    <n v="4"/>
  </r>
  <r>
    <d v="2022-07-01T00:00:00"/>
    <s v="Jul"/>
    <x v="36"/>
    <x v="48"/>
    <m/>
    <s v="employee NI/Tax"/>
    <m/>
    <n v="316.54000000000002"/>
    <m/>
    <m/>
    <n v="49344.11"/>
    <x v="0"/>
    <n v="21710.41"/>
    <n v="4"/>
  </r>
  <r>
    <d v="2022-07-01T00:00:00"/>
    <s v="Jul"/>
    <x v="37"/>
    <x v="49"/>
    <m/>
    <s v="Clerk's Wages"/>
    <m/>
    <n v="982.77"/>
    <m/>
    <m/>
    <n v="48361.340000000004"/>
    <x v="0"/>
    <n v="20727.64"/>
    <n v="4"/>
  </r>
  <r>
    <d v="2022-08-01T00:00:00"/>
    <s v="Aug"/>
    <x v="5"/>
    <x v="50"/>
    <m/>
    <s v="pension "/>
    <m/>
    <n v="85.99"/>
    <m/>
    <m/>
    <n v="48275.350000000006"/>
    <x v="0"/>
    <n v="20641.649999999998"/>
    <n v="5"/>
  </r>
  <r>
    <d v="2022-08-01T00:00:00"/>
    <s v="Aug"/>
    <x v="15"/>
    <x v="51"/>
    <m/>
    <s v="Clerk's Wages"/>
    <m/>
    <n v="982.77"/>
    <m/>
    <m/>
    <n v="47292.580000000009"/>
    <x v="0"/>
    <n v="19658.88"/>
    <n v="5"/>
  </r>
  <r>
    <d v="2022-08-01T00:00:00"/>
    <s v="Aug"/>
    <x v="15"/>
    <x v="41"/>
    <m/>
    <s v="Clerk's Expenses"/>
    <m/>
    <n v="86.24"/>
    <m/>
    <m/>
    <n v="47206.340000000011"/>
    <x v="0"/>
    <n v="19572.64"/>
    <n v="5"/>
  </r>
  <r>
    <d v="2022-08-01T00:00:00"/>
    <s v="Aug"/>
    <x v="5"/>
    <x v="52"/>
    <m/>
    <s v="pension "/>
    <m/>
    <n v="85.99"/>
    <m/>
    <m/>
    <n v="47120.350000000013"/>
    <x v="0"/>
    <n v="19486.649999999998"/>
    <n v="5"/>
  </r>
  <r>
    <d v="2022-08-01T00:00:00"/>
    <s v="Aug"/>
    <x v="38"/>
    <x v="53"/>
    <m/>
    <s v="Highways maint "/>
    <n v="69"/>
    <n v="414"/>
    <m/>
    <m/>
    <n v="46706.350000000013"/>
    <x v="0"/>
    <n v="19072.650000000001"/>
    <n v="5"/>
  </r>
  <r>
    <d v="2022-08-01T00:00:00"/>
    <s v="Aug"/>
    <x v="14"/>
    <x v="37"/>
    <m/>
    <s v="Grass Cutting"/>
    <n v="109"/>
    <n v="654"/>
    <m/>
    <m/>
    <n v="46052.350000000013"/>
    <x v="0"/>
    <n v="18418.650000000001"/>
    <n v="5"/>
  </r>
  <r>
    <d v="2022-08-01T00:00:00"/>
    <s v="Aug"/>
    <x v="39"/>
    <x v="54"/>
    <m/>
    <s v="Audit &amp; Governance"/>
    <n v="60"/>
    <n v="360"/>
    <m/>
    <m/>
    <n v="45692.350000000013"/>
    <x v="0"/>
    <n v="18058.650000000001"/>
    <n v="5"/>
  </r>
  <r>
    <d v="2022-08-01T00:00:00"/>
    <s v="Aug"/>
    <x v="12"/>
    <x v="55"/>
    <m/>
    <s v="outdoor gym"/>
    <n v="13.85"/>
    <n v="83.1"/>
    <m/>
    <m/>
    <n v="45609.250000000015"/>
    <x v="0"/>
    <n v="17975.550000000003"/>
    <n v="5"/>
  </r>
  <r>
    <d v="2022-09-01T00:00:00"/>
    <s v="Aug"/>
    <x v="40"/>
    <x v="56"/>
    <m/>
    <s v="employee NI/Tax"/>
    <m/>
    <n v="286.73"/>
    <m/>
    <m/>
    <n v="45322.520000000011"/>
    <x v="0"/>
    <n v="17688.82"/>
    <n v="5"/>
  </r>
  <r>
    <d v="2022-09-01T00:00:00"/>
    <s v="Sep"/>
    <x v="15"/>
    <x v="57"/>
    <m/>
    <s v="Clerk's Wages"/>
    <m/>
    <n v="982.77"/>
    <m/>
    <m/>
    <n v="44339.750000000015"/>
    <x v="0"/>
    <n v="16706.05"/>
    <n v="6"/>
  </r>
  <r>
    <d v="2022-09-01T00:00:00"/>
    <s v="Sep"/>
    <x v="1"/>
    <x v="1"/>
    <m/>
    <s v="Precept"/>
    <m/>
    <m/>
    <m/>
    <n v="12775"/>
    <n v="57114.750000000015"/>
    <x v="0"/>
    <n v="29481.05"/>
    <n v="6"/>
  </r>
  <r>
    <d v="2022-09-01T00:00:00"/>
    <s v="Sep"/>
    <x v="15"/>
    <x v="58"/>
    <m/>
    <s v="pension "/>
    <m/>
    <n v="85.99"/>
    <m/>
    <m/>
    <n v="57028.760000000017"/>
    <x v="0"/>
    <n v="29395.059999999998"/>
    <n v="6"/>
  </r>
  <r>
    <d v="2022-09-01T00:00:00"/>
    <s v="Sep"/>
    <x v="26"/>
    <x v="59"/>
    <m/>
    <s v="employee NI/Tax"/>
    <m/>
    <n v="286.73"/>
    <m/>
    <m/>
    <n v="56742.030000000013"/>
    <x v="0"/>
    <n v="29108.33"/>
    <n v="6"/>
  </r>
  <r>
    <d v="2022-09-01T00:00:00"/>
    <s v="Sep"/>
    <x v="12"/>
    <x v="60"/>
    <m/>
    <s v="outdoor gym"/>
    <n v="11.08"/>
    <n v="66.48"/>
    <m/>
    <m/>
    <n v="56675.55000000001"/>
    <x v="0"/>
    <n v="29041.850000000002"/>
    <n v="6"/>
  </r>
  <r>
    <d v="2022-09-01T00:00:00"/>
    <s v="Sep"/>
    <x v="12"/>
    <x v="45"/>
    <m/>
    <s v="Neighbourhood Plan"/>
    <n v="22.8"/>
    <n v="136.80000000000001"/>
    <m/>
    <m/>
    <n v="56538.750000000007"/>
    <x v="0"/>
    <n v="28905.05"/>
    <n v="6"/>
  </r>
  <r>
    <d v="2022-09-01T00:00:00"/>
    <s v="Sep"/>
    <x v="14"/>
    <x v="14"/>
    <m/>
    <s v="Grass Cutting"/>
    <n v="109"/>
    <n v="654"/>
    <m/>
    <m/>
    <n v="55884.750000000007"/>
    <x v="0"/>
    <n v="28251.05"/>
    <n v="6"/>
  </r>
  <r>
    <d v="2022-09-01T00:00:00"/>
    <s v="Sep"/>
    <x v="15"/>
    <x v="61"/>
    <m/>
    <s v="Clerk's Expenses"/>
    <m/>
    <n v="88.94"/>
    <m/>
    <m/>
    <n v="55795.810000000005"/>
    <x v="0"/>
    <n v="28162.11"/>
    <n v="6"/>
  </r>
  <r>
    <d v="2022-10-01T00:00:00"/>
    <s v="Oct"/>
    <x v="15"/>
    <x v="62"/>
    <m/>
    <s v="Clerk's Wages"/>
    <m/>
    <n v="982.77"/>
    <m/>
    <m/>
    <n v="54813.040000000008"/>
    <x v="0"/>
    <n v="27179.34"/>
    <n v="7"/>
  </r>
  <r>
    <d v="2022-10-01T00:00:00"/>
    <s v="Oct"/>
    <x v="41"/>
    <x v="63"/>
    <m/>
    <s v="Parish Council expenses"/>
    <n v="40.369999999999997"/>
    <n v="242.22"/>
    <m/>
    <m/>
    <n v="54570.820000000007"/>
    <x v="0"/>
    <n v="26937.119999999999"/>
    <n v="7"/>
  </r>
  <r>
    <d v="2022-10-01T00:00:00"/>
    <s v="Oct"/>
    <x v="42"/>
    <x v="64"/>
    <m/>
    <s v="Allotment ass in"/>
    <m/>
    <m/>
    <m/>
    <n v="25"/>
    <n v="54595.820000000007"/>
    <x v="0"/>
    <n v="26962.12"/>
    <n v="7"/>
  </r>
  <r>
    <d v="2022-10-01T00:00:00"/>
    <s v="Oct"/>
    <x v="43"/>
    <x v="65"/>
    <m/>
    <s v="community benefit"/>
    <m/>
    <n v="50"/>
    <m/>
    <m/>
    <n v="54545.820000000007"/>
    <x v="0"/>
    <n v="26912.12"/>
    <n v="7"/>
  </r>
  <r>
    <d v="2022-10-01T00:00:00"/>
    <s v="Oct"/>
    <x v="44"/>
    <x v="66"/>
    <m/>
    <s v="Health and safety"/>
    <m/>
    <n v="40"/>
    <m/>
    <m/>
    <n v="54505.820000000007"/>
    <x v="0"/>
    <n v="26872.12"/>
    <n v="7"/>
  </r>
  <r>
    <d v="2022-10-01T00:00:00"/>
    <s v="Oct"/>
    <x v="45"/>
    <x v="67"/>
    <m/>
    <s v="website"/>
    <n v="10.32"/>
    <n v="61.85"/>
    <m/>
    <m/>
    <n v="54443.970000000008"/>
    <x v="0"/>
    <n v="26810.27"/>
    <n v="7"/>
  </r>
  <r>
    <d v="2022-10-01T00:00:00"/>
    <s v="Oct"/>
    <x v="12"/>
    <x v="45"/>
    <m/>
    <s v="Neighbourhood Plan"/>
    <n v="4.78"/>
    <n v="28.66"/>
    <m/>
    <m/>
    <n v="54415.310000000005"/>
    <x v="0"/>
    <n v="26781.61"/>
    <n v="7"/>
  </r>
  <r>
    <d v="2022-10-01T00:00:00"/>
    <s v="Oct"/>
    <x v="12"/>
    <x v="68"/>
    <m/>
    <s v="outdoor gym"/>
    <n v="13.85"/>
    <n v="83.1"/>
    <m/>
    <m/>
    <n v="54332.210000000006"/>
    <x v="0"/>
    <n v="26698.510000000002"/>
    <n v="7"/>
  </r>
  <r>
    <d v="2022-10-01T00:00:00"/>
    <s v="Oct"/>
    <x v="13"/>
    <x v="69"/>
    <m/>
    <s v="website"/>
    <n v="28.8"/>
    <n v="172.8"/>
    <m/>
    <m/>
    <n v="54159.41"/>
    <x v="0"/>
    <n v="26525.71"/>
    <n v="7"/>
  </r>
  <r>
    <d v="2022-10-01T00:00:00"/>
    <s v="Oct"/>
    <x v="33"/>
    <x v="70"/>
    <m/>
    <s v="Stationery"/>
    <n v="0"/>
    <n v="229.59"/>
    <m/>
    <m/>
    <n v="53929.820000000007"/>
    <x v="0"/>
    <n v="26296.12"/>
    <n v="7"/>
  </r>
  <r>
    <d v="2022-10-01T00:00:00"/>
    <s v="Oct"/>
    <x v="15"/>
    <x v="71"/>
    <m/>
    <s v="Clerk's Expenses"/>
    <m/>
    <n v="88.94"/>
    <m/>
    <m/>
    <n v="53840.880000000005"/>
    <x v="0"/>
    <n v="26207.18"/>
    <n v="7"/>
  </r>
  <r>
    <d v="2022-10-01T00:00:00"/>
    <s v="Oct"/>
    <x v="26"/>
    <x v="72"/>
    <m/>
    <s v="employee NI/Tax"/>
    <m/>
    <n v="286.73"/>
    <m/>
    <m/>
    <n v="53554.15"/>
    <x v="0"/>
    <n v="25920.45"/>
    <n v="7"/>
  </r>
  <r>
    <d v="2022-10-01T00:00:00"/>
    <s v="Oct"/>
    <x v="5"/>
    <x v="32"/>
    <m/>
    <s v="pension "/>
    <m/>
    <n v="85.99"/>
    <m/>
    <m/>
    <n v="53468.160000000003"/>
    <x v="0"/>
    <n v="25834.46"/>
    <n v="7"/>
  </r>
  <r>
    <d v="2022-10-01T00:00:00"/>
    <s v="Oct"/>
    <x v="14"/>
    <x v="14"/>
    <m/>
    <s v="Grass Cutting"/>
    <n v="263"/>
    <n v="1578"/>
    <m/>
    <m/>
    <n v="51890.16"/>
    <x v="0"/>
    <n v="24256.46"/>
    <n v="7"/>
  </r>
  <r>
    <d v="2022-11-01T00:00:00"/>
    <s v="Nov"/>
    <x v="15"/>
    <x v="73"/>
    <m/>
    <s v="Clerk's Wages"/>
    <m/>
    <n v="982.77"/>
    <m/>
    <m/>
    <n v="50907.390000000007"/>
    <x v="0"/>
    <n v="23273.69"/>
    <n v="8"/>
  </r>
  <r>
    <d v="2022-11-01T00:00:00"/>
    <s v="Nov"/>
    <x v="46"/>
    <x v="74"/>
    <m/>
    <s v="Clerk's Expenses"/>
    <m/>
    <n v="104.24"/>
    <m/>
    <m/>
    <n v="50803.150000000009"/>
    <x v="0"/>
    <n v="23169.449999999997"/>
    <n v="8"/>
  </r>
  <r>
    <d v="2022-11-01T00:00:00"/>
    <s v="Nov"/>
    <x v="47"/>
    <x v="75"/>
    <m/>
    <s v="Play Area"/>
    <n v="47.18"/>
    <n v="283.08"/>
    <m/>
    <m/>
    <n v="50520.070000000007"/>
    <x v="0"/>
    <n v="22886.37"/>
    <n v="8"/>
  </r>
  <r>
    <d v="2022-11-01T00:00:00"/>
    <s v="Nov"/>
    <x v="14"/>
    <x v="76"/>
    <m/>
    <s v="Play Area"/>
    <n v="22"/>
    <n v="132"/>
    <m/>
    <m/>
    <n v="50388.070000000007"/>
    <x v="0"/>
    <n v="22754.37"/>
    <n v="8"/>
  </r>
  <r>
    <d v="2022-11-01T00:00:00"/>
    <s v="Nov"/>
    <x v="12"/>
    <x v="77"/>
    <m/>
    <s v="Neighbourhood Plan"/>
    <n v="12"/>
    <n v="72"/>
    <m/>
    <m/>
    <n v="50316.070000000007"/>
    <x v="0"/>
    <n v="22682.37"/>
    <n v="8"/>
  </r>
  <r>
    <d v="2022-11-01T00:00:00"/>
    <s v="Nov"/>
    <x v="12"/>
    <x v="78"/>
    <m/>
    <s v="outdoor gym"/>
    <n v="11.08"/>
    <n v="83.1"/>
    <m/>
    <m/>
    <n v="50232.970000000008"/>
    <x v="0"/>
    <n v="22599.27"/>
    <n v="8"/>
  </r>
  <r>
    <d v="2022-11-01T00:00:00"/>
    <s v="Nov"/>
    <x v="48"/>
    <x v="79"/>
    <m/>
    <s v="Grants &amp; Donations"/>
    <m/>
    <n v="60"/>
    <m/>
    <m/>
    <n v="50172.970000000008"/>
    <x v="0"/>
    <n v="22539.27"/>
    <n v="8"/>
  </r>
  <r>
    <d v="2022-11-01T00:00:00"/>
    <s v="Nov"/>
    <x v="5"/>
    <x v="5"/>
    <m/>
    <s v="pension "/>
    <m/>
    <n v="85.99"/>
    <m/>
    <m/>
    <n v="50086.98000000001"/>
    <x v="0"/>
    <n v="22453.279999999999"/>
    <n v="8"/>
  </r>
  <r>
    <d v="2022-11-01T00:00:00"/>
    <s v="Nov"/>
    <x v="26"/>
    <x v="80"/>
    <m/>
    <s v="employee NI/Tax"/>
    <m/>
    <n v="248.78"/>
    <m/>
    <m/>
    <n v="49838.200000000012"/>
    <x v="0"/>
    <n v="22204.5"/>
    <n v="8"/>
  </r>
  <r>
    <d v="2022-11-01T00:00:00"/>
    <s v="Nov"/>
    <x v="33"/>
    <x v="81"/>
    <m/>
    <s v="Miscellaneous (Inc)"/>
    <m/>
    <m/>
    <m/>
    <n v="229.59"/>
    <n v="50067.790000000008"/>
    <x v="0"/>
    <n v="22434.09"/>
    <n v="8"/>
  </r>
  <r>
    <d v="2022-11-01T00:00:00"/>
    <s v="Nov"/>
    <x v="49"/>
    <x v="2"/>
    <m/>
    <s v="Dividend"/>
    <m/>
    <m/>
    <m/>
    <n v="252.96"/>
    <n v="50320.750000000007"/>
    <x v="0"/>
    <n v="22687.05"/>
    <n v="8"/>
  </r>
  <r>
    <d v="2022-11-01T00:00:00"/>
    <s v="Nov"/>
    <x v="50"/>
    <x v="82"/>
    <m/>
    <s v="Highways maint "/>
    <n v="4.79"/>
    <n v="37.5"/>
    <m/>
    <m/>
    <n v="50283.250000000007"/>
    <x v="0"/>
    <n v="22649.55"/>
    <n v="8"/>
  </r>
  <r>
    <d v="2022-11-01T00:00:00"/>
    <s v="Nov"/>
    <x v="51"/>
    <x v="83"/>
    <m/>
    <s v="Councillors exp"/>
    <m/>
    <n v="53"/>
    <m/>
    <m/>
    <n v="50230.250000000007"/>
    <x v="0"/>
    <n v="22596.55"/>
    <n v="8"/>
  </r>
  <r>
    <d v="2022-11-01T00:00:00"/>
    <s v="Nov"/>
    <x v="52"/>
    <x v="84"/>
    <m/>
    <s v="community benefit"/>
    <n v="528"/>
    <n v="3168"/>
    <m/>
    <m/>
    <n v="47062.250000000007"/>
    <x v="0"/>
    <n v="19428.55"/>
    <n v="8"/>
  </r>
  <r>
    <d v="2022-12-01T00:00:00"/>
    <s v="Dec"/>
    <x v="15"/>
    <x v="85"/>
    <m/>
    <s v="Clerk's Wages"/>
    <m/>
    <n v="982.77"/>
    <m/>
    <m/>
    <n v="46079.48000000001"/>
    <x v="0"/>
    <n v="18445.78"/>
    <n v="9"/>
  </r>
  <r>
    <d v="2022-12-01T00:00:00"/>
    <s v="Dec"/>
    <x v="26"/>
    <x v="86"/>
    <m/>
    <s v="employee NI/Tax"/>
    <m/>
    <n v="278.58999999999997"/>
    <m/>
    <m/>
    <n v="45800.890000000014"/>
    <x v="0"/>
    <n v="18167.189999999999"/>
    <n v="9"/>
  </r>
  <r>
    <d v="2022-12-01T00:00:00"/>
    <s v="Dec"/>
    <x v="5"/>
    <x v="5"/>
    <m/>
    <s v="pension "/>
    <m/>
    <n v="85.99"/>
    <m/>
    <m/>
    <n v="45714.900000000016"/>
    <x v="0"/>
    <n v="18081.199999999997"/>
    <n v="9"/>
  </r>
  <r>
    <d v="2022-12-01T00:00:00"/>
    <s v="Dec"/>
    <x v="33"/>
    <x v="87"/>
    <m/>
    <s v="Health and safety"/>
    <n v="53.8"/>
    <n v="370.28"/>
    <m/>
    <m/>
    <n v="45344.620000000017"/>
    <x v="0"/>
    <n v="17710.920000000002"/>
    <n v="9"/>
  </r>
  <r>
    <d v="2022-12-01T00:00:00"/>
    <s v="Dec"/>
    <x v="12"/>
    <x v="45"/>
    <m/>
    <s v="Neighbourhood Plan"/>
    <n v="3.58"/>
    <n v="21.46"/>
    <m/>
    <m/>
    <n v="45323.160000000018"/>
    <x v="0"/>
    <n v="17689.46"/>
    <n v="9"/>
  </r>
  <r>
    <d v="2022-12-01T00:00:00"/>
    <s v="Dec"/>
    <x v="12"/>
    <x v="45"/>
    <m/>
    <s v="Neighbourhood Plan"/>
    <n v="12"/>
    <n v="72"/>
    <m/>
    <m/>
    <n v="45251.160000000018"/>
    <x v="0"/>
    <n v="17617.46"/>
    <n v="9"/>
  </r>
  <r>
    <d v="2022-12-01T00:00:00"/>
    <s v="Dec"/>
    <x v="12"/>
    <x v="88"/>
    <m/>
    <s v="outdoor gym"/>
    <n v="11.08"/>
    <n v="66.48"/>
    <m/>
    <m/>
    <n v="45184.680000000015"/>
    <x v="0"/>
    <n v="17550.98"/>
    <n v="9"/>
  </r>
  <r>
    <d v="2022-12-01T00:00:00"/>
    <s v="Dec"/>
    <x v="15"/>
    <x v="89"/>
    <m/>
    <s v="Clerk's Expenses"/>
    <m/>
    <n v="104.24"/>
    <m/>
    <m/>
    <n v="45080.440000000017"/>
    <x v="0"/>
    <n v="17446.739999999998"/>
    <n v="9"/>
  </r>
  <r>
    <d v="2023-01-01T00:00:00"/>
    <s v="Jan"/>
    <x v="15"/>
    <x v="90"/>
    <m/>
    <s v="Clerk's Wages"/>
    <m/>
    <n v="982.77"/>
    <m/>
    <m/>
    <n v="44097.67000000002"/>
    <x v="0"/>
    <n v="16463.97"/>
    <n v="10"/>
  </r>
  <r>
    <d v="2022-01-01T00:00:00"/>
    <s v="Jan"/>
    <x v="15"/>
    <x v="91"/>
    <m/>
    <s v="Clerk's Expenses"/>
    <m/>
    <n v="73.64"/>
    <m/>
    <m/>
    <n v="44024.030000000021"/>
    <x v="0"/>
    <n v="16390.330000000002"/>
    <n v="10"/>
  </r>
  <r>
    <d v="2023-01-01T00:00:00"/>
    <s v="Jan"/>
    <x v="49"/>
    <x v="2"/>
    <m/>
    <s v="Dividend"/>
    <m/>
    <m/>
    <m/>
    <n v="239.29"/>
    <n v="44263.320000000022"/>
    <x v="0"/>
    <n v="16629.620000000003"/>
    <n v="10"/>
  </r>
  <r>
    <d v="2023-01-01T00:00:00"/>
    <s v="Jan"/>
    <x v="15"/>
    <x v="92"/>
    <m/>
    <s v="Clerk's Wages"/>
    <m/>
    <n v="215.45"/>
    <m/>
    <m/>
    <n v="44047.870000000024"/>
    <x v="0"/>
    <n v="16414.169999999998"/>
    <n v="10"/>
  </r>
  <r>
    <d v="2023-02-01T00:00:00"/>
    <s v="Feb"/>
    <x v="15"/>
    <x v="93"/>
    <m/>
    <s v="Clerk's Wages"/>
    <m/>
    <n v="1014.84"/>
    <m/>
    <m/>
    <n v="43033.030000000028"/>
    <x v="0"/>
    <n v="15399.329999999998"/>
    <n v="11"/>
  </r>
  <r>
    <d v="2023-02-01T00:00:00"/>
    <s v="Feb"/>
    <x v="26"/>
    <x v="94"/>
    <m/>
    <s v="employee NI/Tax"/>
    <m/>
    <n v="278.58999999999997"/>
    <m/>
    <m/>
    <n v="42754.440000000031"/>
    <x v="0"/>
    <n v="15120.74"/>
    <n v="11"/>
  </r>
  <r>
    <d v="2023-02-01T00:00:00"/>
    <s v="Feb"/>
    <x v="5"/>
    <x v="5"/>
    <m/>
    <s v="pension "/>
    <m/>
    <n v="85.99"/>
    <m/>
    <m/>
    <n v="42668.450000000033"/>
    <x v="0"/>
    <n v="15034.75"/>
    <n v="11"/>
  </r>
  <r>
    <d v="2023-02-01T00:00:00"/>
    <s v="Feb"/>
    <x v="15"/>
    <x v="15"/>
    <m/>
    <s v="Clerk's Expenses"/>
    <m/>
    <n v="73.64"/>
    <m/>
    <m/>
    <n v="42594.810000000034"/>
    <x v="0"/>
    <n v="14961.11"/>
    <n v="11"/>
  </r>
  <r>
    <d v="2023-02-01T00:00:00"/>
    <s v="Feb"/>
    <x v="12"/>
    <x v="95"/>
    <m/>
    <s v="outdoor gym"/>
    <n v="0"/>
    <n v="0"/>
    <m/>
    <m/>
    <n v="42594.810000000034"/>
    <x v="0"/>
    <n v="14961.11"/>
    <n v="11"/>
  </r>
  <r>
    <d v="2023-03-01T00:00:00"/>
    <s v="Mar"/>
    <x v="1"/>
    <x v="96"/>
    <m/>
    <s v="Health and safety"/>
    <m/>
    <n v="9"/>
    <m/>
    <m/>
    <n v="42585.810000000034"/>
    <x v="0"/>
    <n v="14952.11"/>
    <n v="12"/>
  </r>
  <r>
    <d v="2023-03-01T00:00:00"/>
    <s v="Mar"/>
    <x v="43"/>
    <x v="97"/>
    <m/>
    <s v="community benefit"/>
    <n v="307.60000000000002"/>
    <n v="1840.6"/>
    <m/>
    <m/>
    <n v="40745.210000000036"/>
    <x v="0"/>
    <n v="13111.51"/>
    <n v="12"/>
  </r>
  <r>
    <d v="2023-03-01T00:00:00"/>
    <s v="Mar"/>
    <x v="15"/>
    <x v="98"/>
    <m/>
    <s v="Clerk's Wages"/>
    <m/>
    <n v="1014.84"/>
    <m/>
    <m/>
    <n v="39730.370000000039"/>
    <x v="0"/>
    <n v="12096.67"/>
    <n v="12"/>
  </r>
  <r>
    <d v="2023-03-01T00:00:00"/>
    <s v="Mar"/>
    <x v="5"/>
    <x v="5"/>
    <m/>
    <s v="pension "/>
    <m/>
    <n v="85.99"/>
    <m/>
    <m/>
    <n v="39644.380000000041"/>
    <x v="0"/>
    <n v="12010.68"/>
    <n v="12"/>
  </r>
  <r>
    <d v="2023-03-01T00:00:00"/>
    <s v="Mar"/>
    <x v="26"/>
    <x v="99"/>
    <m/>
    <s v="employee NI/Tax"/>
    <m/>
    <n v="278.58999999999997"/>
    <m/>
    <m/>
    <n v="39365.790000000045"/>
    <x v="0"/>
    <n v="11732.09"/>
    <n v="12"/>
  </r>
  <r>
    <d v="2023-03-01T00:00:00"/>
    <s v="Mar"/>
    <x v="30"/>
    <x v="100"/>
    <m/>
    <s v="Grants &amp; Donations"/>
    <m/>
    <n v="300"/>
    <m/>
    <m/>
    <n v="39065.790000000045"/>
    <x v="1"/>
    <n v="11732.09"/>
    <n v="12"/>
  </r>
  <r>
    <d v="2023-03-01T00:00:00"/>
    <s v="Mar"/>
    <x v="53"/>
    <x v="100"/>
    <m/>
    <s v="Grants &amp; Donations"/>
    <m/>
    <n v="300"/>
    <m/>
    <m/>
    <n v="38765.790000000045"/>
    <x v="1"/>
    <n v="11732.09"/>
    <n v="12"/>
  </r>
  <r>
    <d v="2023-03-01T00:00:00"/>
    <s v="Mar"/>
    <x v="54"/>
    <x v="100"/>
    <m/>
    <s v="Grants &amp; Donations"/>
    <m/>
    <n v="100"/>
    <m/>
    <m/>
    <n v="38665.790000000045"/>
    <x v="1"/>
    <n v="11732.09"/>
    <n v="12"/>
  </r>
  <r>
    <d v="2023-03-01T00:00:00"/>
    <s v="Mar"/>
    <x v="12"/>
    <x v="100"/>
    <m/>
    <s v="Grants &amp; Donations"/>
    <m/>
    <n v="41"/>
    <m/>
    <m/>
    <n v="38624.790000000045"/>
    <x v="1"/>
    <n v="11732.09"/>
    <n v="12"/>
  </r>
  <r>
    <d v="2023-03-01T00:00:00"/>
    <s v="Mar"/>
    <x v="15"/>
    <x v="101"/>
    <m/>
    <s v="Clerk's Expenses"/>
    <m/>
    <n v="104.24"/>
    <m/>
    <m/>
    <n v="38520.550000000047"/>
    <x v="1"/>
    <n v="11732.09"/>
    <n v="12"/>
  </r>
  <r>
    <d v="2023-03-01T00:00:00"/>
    <s v="Mar"/>
    <x v="17"/>
    <x v="23"/>
    <m/>
    <s v="Membership Fees"/>
    <m/>
    <n v="584.41999999999996"/>
    <m/>
    <m/>
    <n v="37936.130000000048"/>
    <x v="1"/>
    <n v="11732.09"/>
    <n v="12"/>
  </r>
  <r>
    <d v="2023-03-01T00:00:00"/>
    <s v="Mar"/>
    <x v="12"/>
    <x v="100"/>
    <m/>
    <s v="Grants &amp; Donations"/>
    <m/>
    <n v="9"/>
    <m/>
    <m/>
    <n v="37927.130000000048"/>
    <x v="1"/>
    <n v="11732.09"/>
    <n v="1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ECA40134-A14A-420B-9A15-C9423A25E1E7}" name="PivotTable2" cacheId="1" applyNumberFormats="0" applyBorderFormats="0" applyFontFormats="0" applyPatternFormats="0" applyAlignmentFormats="0" applyWidthHeightFormats="1" dataCaption="Values" updatedVersion="8" minRefreshableVersion="3" useAutoFormatting="1" itemPrintTitles="1" createdVersion="6" indent="0" outline="1" outlineData="1" multipleFieldFilters="0" rowHeaderCaption=" ">
  <location ref="C16:E27" firstHeaderRow="0" firstDataRow="1" firstDataCol="1" rowPageCount="1" colPageCount="1"/>
  <pivotFields count="14">
    <pivotField numFmtId="165" showAll="0"/>
    <pivotField showAll="0"/>
    <pivotField name="Payee Name" axis="axisRow" showAll="0">
      <items count="197">
        <item sd="0" m="1" x="181"/>
        <item sd="0" m="1" x="123"/>
        <item sd="0" m="1" x="71"/>
        <item sd="0" m="1" x="122"/>
        <item sd="0" m="1" x="133"/>
        <item sd="0" m="1" x="172"/>
        <item sd="0" m="1" x="169"/>
        <item sd="0" m="1" x="193"/>
        <item sd="0" m="1" x="157"/>
        <item sd="0" m="1" x="118"/>
        <item sd="0" m="1" x="112"/>
        <item sd="0" x="17"/>
        <item sd="0" m="1" x="144"/>
        <item sd="0" m="1" x="149"/>
        <item sd="0" m="1" x="116"/>
        <item sd="0" m="1" x="146"/>
        <item sd="0" x="15"/>
        <item sd="0" m="1" x="161"/>
        <item sd="0" m="1" x="136"/>
        <item sd="0" m="1" x="111"/>
        <item sd="0" m="1" x="107"/>
        <item sd="0" x="33"/>
        <item sd="0" m="1" x="128"/>
        <item sd="0" m="1" x="56"/>
        <item sd="0" m="1" x="93"/>
        <item sd="0" m="1" x="180"/>
        <item sd="0" m="1" x="114"/>
        <item sd="0" m="1" x="184"/>
        <item sd="0" m="1" x="58"/>
        <item sd="0" m="1" x="89"/>
        <item sd="0" m="1" x="141"/>
        <item sd="0" m="1" x="145"/>
        <item sd="0" m="1" x="72"/>
        <item sd="0" m="1" x="140"/>
        <item sd="0" m="1" x="175"/>
        <item sd="0" m="1" x="96"/>
        <item sd="0" m="1" x="132"/>
        <item sd="0" m="1" x="91"/>
        <item sd="0" m="1" x="189"/>
        <item sd="0" m="1" x="105"/>
        <item sd="0" x="1"/>
        <item sd="0" m="1" x="62"/>
        <item m="1" x="103"/>
        <item sd="0" m="1" x="152"/>
        <item sd="0" m="1" x="179"/>
        <item sd="0" m="1" x="127"/>
        <item sd="0" m="1" x="64"/>
        <item sd="0" m="1" x="178"/>
        <item sd="0" m="1" x="168"/>
        <item sd="0" m="1" x="99"/>
        <item sd="0" m="1" x="142"/>
        <item sd="0" m="1" x="176"/>
        <item sd="0" m="1" x="170"/>
        <item sd="0" m="1" x="81"/>
        <item sd="0" m="1" x="94"/>
        <item sd="0" m="1" x="164"/>
        <item sd="0" m="1" x="139"/>
        <item sd="0" m="1" x="131"/>
        <item sd="0" m="1" x="82"/>
        <item sd="0" m="1" x="61"/>
        <item sd="0" m="1" x="177"/>
        <item sd="0" m="1" x="86"/>
        <item sd="0" m="1" x="113"/>
        <item sd="0" m="1" x="126"/>
        <item sd="0" m="1" x="165"/>
        <item m="1" x="121"/>
        <item m="1" x="138"/>
        <item m="1" x="166"/>
        <item m="1" x="186"/>
        <item m="1" x="182"/>
        <item x="12"/>
        <item m="1" x="148"/>
        <item m="1" x="143"/>
        <item m="1" x="100"/>
        <item m="1" x="174"/>
        <item m="1" x="190"/>
        <item m="1" x="171"/>
        <item m="1" x="59"/>
        <item x="14"/>
        <item x="46"/>
        <item m="1" x="109"/>
        <item m="1" x="130"/>
        <item m="1" x="79"/>
        <item m="1" x="68"/>
        <item m="1" x="117"/>
        <item m="1" x="92"/>
        <item x="51"/>
        <item m="1" x="195"/>
        <item m="1" x="85"/>
        <item m="1" x="102"/>
        <item m="1" x="191"/>
        <item m="1" x="101"/>
        <item m="1" x="160"/>
        <item m="1" x="66"/>
        <item m="1" x="75"/>
        <item m="1" x="57"/>
        <item m="1" x="129"/>
        <item m="1" x="154"/>
        <item x="49"/>
        <item m="1" x="110"/>
        <item m="1" x="84"/>
        <item m="1" x="70"/>
        <item m="1" x="124"/>
        <item m="1" x="194"/>
        <item m="1" x="108"/>
        <item m="1" x="98"/>
        <item x="47"/>
        <item m="1" x="78"/>
        <item m="1" x="173"/>
        <item m="1" x="183"/>
        <item x="28"/>
        <item x="26"/>
        <item m="1" x="119"/>
        <item m="1" x="67"/>
        <item m="1" x="167"/>
        <item x="6"/>
        <item m="1" x="55"/>
        <item m="1" x="159"/>
        <item m="1" x="158"/>
        <item m="1" x="188"/>
        <item m="1" x="162"/>
        <item m="1" x="97"/>
        <item m="1" x="163"/>
        <item m="1" x="156"/>
        <item x="10"/>
        <item m="1" x="69"/>
        <item m="1" x="192"/>
        <item m="1" x="90"/>
        <item m="1" x="104"/>
        <item m="1" x="76"/>
        <item m="1" x="187"/>
        <item m="1" x="120"/>
        <item m="1" x="155"/>
        <item x="48"/>
        <item m="1" x="80"/>
        <item m="1" x="137"/>
        <item x="42"/>
        <item m="1" x="83"/>
        <item m="1" x="134"/>
        <item m="1" x="147"/>
        <item m="1" x="151"/>
        <item m="1" x="153"/>
        <item m="1" x="150"/>
        <item m="1" x="65"/>
        <item x="0"/>
        <item m="1" x="77"/>
        <item x="11"/>
        <item x="13"/>
        <item m="1" x="74"/>
        <item m="1" x="95"/>
        <item m="1" x="106"/>
        <item m="1" x="135"/>
        <item x="4"/>
        <item m="1" x="125"/>
        <item m="1" x="60"/>
        <item m="1" x="185"/>
        <item x="31"/>
        <item x="38"/>
        <item m="1" x="87"/>
        <item x="34"/>
        <item m="1" x="63"/>
        <item m="1" x="115"/>
        <item m="1" x="88"/>
        <item x="2"/>
        <item x="3"/>
        <item x="5"/>
        <item x="7"/>
        <item x="8"/>
        <item x="16"/>
        <item x="18"/>
        <item x="19"/>
        <item x="20"/>
        <item x="21"/>
        <item x="22"/>
        <item x="23"/>
        <item x="24"/>
        <item x="27"/>
        <item x="29"/>
        <item x="30"/>
        <item x="32"/>
        <item x="35"/>
        <item x="36"/>
        <item m="1" x="73"/>
        <item x="37"/>
        <item x="39"/>
        <item x="40"/>
        <item x="41"/>
        <item x="43"/>
        <item x="44"/>
        <item x="45"/>
        <item x="50"/>
        <item x="52"/>
        <item x="53"/>
        <item x="54"/>
        <item x="9"/>
        <item x="25"/>
        <item t="default" sd="0"/>
      </items>
    </pivotField>
    <pivotField axis="axisRow" showAll="0">
      <items count="313">
        <item m="1" x="290"/>
        <item m="1" x="269"/>
        <item m="1" x="288"/>
        <item m="1" x="149"/>
        <item m="1" x="281"/>
        <item m="1" x="265"/>
        <item m="1" x="226"/>
        <item m="1" x="215"/>
        <item m="1" x="230"/>
        <item m="1" x="168"/>
        <item m="1" x="146"/>
        <item m="1" x="309"/>
        <item m="1" x="243"/>
        <item m="1" x="252"/>
        <item x="1"/>
        <item m="1" x="212"/>
        <item m="1" x="107"/>
        <item m="1" x="121"/>
        <item m="1" x="201"/>
        <item m="1" x="211"/>
        <item m="1" x="132"/>
        <item m="1" x="174"/>
        <item m="1" x="279"/>
        <item m="1" x="115"/>
        <item m="1" x="207"/>
        <item m="1" x="229"/>
        <item m="1" x="176"/>
        <item m="1" x="125"/>
        <item m="1" x="208"/>
        <item m="1" x="189"/>
        <item m="1" x="144"/>
        <item m="1" x="134"/>
        <item m="1" x="147"/>
        <item m="1" x="219"/>
        <item m="1" x="227"/>
        <item m="1" x="103"/>
        <item m="1" x="277"/>
        <item m="1" x="205"/>
        <item m="1" x="278"/>
        <item m="1" x="200"/>
        <item m="1" x="308"/>
        <item m="1" x="251"/>
        <item m="1" x="178"/>
        <item x="14"/>
        <item m="1" x="177"/>
        <item m="1" x="128"/>
        <item m="1" x="272"/>
        <item m="1" x="244"/>
        <item m="1" x="257"/>
        <item m="1" x="306"/>
        <item m="1" x="106"/>
        <item m="1" x="300"/>
        <item m="1" x="295"/>
        <item m="1" x="209"/>
        <item m="1" x="292"/>
        <item x="54"/>
        <item m="1" x="235"/>
        <item m="1" x="223"/>
        <item m="1" x="143"/>
        <item m="1" x="123"/>
        <item x="32"/>
        <item x="90"/>
        <item m="1" x="228"/>
        <item m="1" x="259"/>
        <item m="1" x="261"/>
        <item m="1" x="304"/>
        <item x="41"/>
        <item m="1" x="122"/>
        <item m="1" x="196"/>
        <item m="1" x="158"/>
        <item m="1" x="126"/>
        <item m="1" x="162"/>
        <item m="1" x="293"/>
        <item m="1" x="187"/>
        <item m="1" x="181"/>
        <item m="1" x="136"/>
        <item m="1" x="305"/>
        <item m="1" x="193"/>
        <item m="1" x="112"/>
        <item m="1" x="202"/>
        <item m="1" x="282"/>
        <item m="1" x="109"/>
        <item m="1" x="299"/>
        <item m="1" x="129"/>
        <item m="1" x="239"/>
        <item m="1" x="133"/>
        <item m="1" x="190"/>
        <item m="1" x="285"/>
        <item m="1" x="204"/>
        <item m="1" x="218"/>
        <item m="1" x="250"/>
        <item m="1" x="135"/>
        <item m="1" x="270"/>
        <item m="1" x="131"/>
        <item m="1" x="231"/>
        <item m="1" x="161"/>
        <item m="1" x="241"/>
        <item m="1" x="175"/>
        <item m="1" x="154"/>
        <item m="1" x="246"/>
        <item m="1" x="203"/>
        <item m="1" x="148"/>
        <item m="1" x="225"/>
        <item m="1" x="186"/>
        <item m="1" x="217"/>
        <item x="19"/>
        <item m="1" x="248"/>
        <item m="1" x="110"/>
        <item m="1" x="221"/>
        <item m="1" x="195"/>
        <item m="1" x="222"/>
        <item m="1" x="119"/>
        <item m="1" x="155"/>
        <item m="1" x="242"/>
        <item x="77"/>
        <item m="1" x="151"/>
        <item m="1" x="267"/>
        <item m="1" x="183"/>
        <item m="1" x="273"/>
        <item m="1" x="172"/>
        <item m="1" x="163"/>
        <item x="33"/>
        <item m="1" x="256"/>
        <item m="1" x="118"/>
        <item m="1" x="275"/>
        <item m="1" x="260"/>
        <item m="1" x="171"/>
        <item m="1" x="254"/>
        <item m="1" x="236"/>
        <item m="1" x="197"/>
        <item m="1" x="130"/>
        <item m="1" x="233"/>
        <item m="1" x="113"/>
        <item m="1" x="156"/>
        <item m="1" x="165"/>
        <item m="1" x="206"/>
        <item x="37"/>
        <item m="1" x="284"/>
        <item m="1" x="120"/>
        <item m="1" x="157"/>
        <item m="1" x="108"/>
        <item m="1" x="287"/>
        <item m="1" x="280"/>
        <item m="1" x="180"/>
        <item m="1" x="262"/>
        <item m="1" x="104"/>
        <item m="1" x="289"/>
        <item m="1" x="160"/>
        <item m="1" x="185"/>
        <item m="1" x="245"/>
        <item m="1" x="238"/>
        <item m="1" x="274"/>
        <item m="1" x="142"/>
        <item m="1" x="253"/>
        <item m="1" x="152"/>
        <item m="1" x="198"/>
        <item m="1" x="191"/>
        <item m="1" x="159"/>
        <item m="1" x="137"/>
        <item m="1" x="124"/>
        <item m="1" x="310"/>
        <item m="1" x="170"/>
        <item m="1" x="298"/>
        <item m="1" x="150"/>
        <item m="1" x="271"/>
        <item m="1" x="283"/>
        <item m="1" x="166"/>
        <item m="1" x="291"/>
        <item m="1" x="210"/>
        <item m="1" x="311"/>
        <item m="1" x="303"/>
        <item m="1" x="179"/>
        <item m="1" x="294"/>
        <item m="1" x="105"/>
        <item x="0"/>
        <item m="1" x="127"/>
        <item m="1" x="111"/>
        <item m="1" x="102"/>
        <item m="1" x="266"/>
        <item m="1" x="116"/>
        <item m="1" x="194"/>
        <item m="1" x="184"/>
        <item x="71"/>
        <item m="1" x="232"/>
        <item m="1" x="234"/>
        <item m="1" x="296"/>
        <item m="1" x="182"/>
        <item m="1" x="247"/>
        <item m="1" x="214"/>
        <item m="1" x="153"/>
        <item m="1" x="297"/>
        <item x="2"/>
        <item m="1" x="255"/>
        <item m="1" x="213"/>
        <item m="1" x="263"/>
        <item m="1" x="138"/>
        <item m="1" x="224"/>
        <item m="1" x="188"/>
        <item m="1" x="220"/>
        <item m="1" x="249"/>
        <item x="42"/>
        <item m="1" x="216"/>
        <item m="1" x="145"/>
        <item m="1" x="169"/>
        <item m="1" x="117"/>
        <item m="1" x="192"/>
        <item m="1" x="164"/>
        <item x="44"/>
        <item m="1" x="139"/>
        <item m="1" x="199"/>
        <item m="1" x="286"/>
        <item m="1" x="307"/>
        <item m="1" x="264"/>
        <item m="1" x="141"/>
        <item m="1" x="276"/>
        <item m="1" x="237"/>
        <item x="61"/>
        <item m="1" x="240"/>
        <item m="1" x="302"/>
        <item m="1" x="173"/>
        <item m="1" x="268"/>
        <item m="1" x="258"/>
        <item m="1" x="301"/>
        <item x="3"/>
        <item x="4"/>
        <item x="5"/>
        <item x="6"/>
        <item x="7"/>
        <item m="1" x="114"/>
        <item x="10"/>
        <item x="11"/>
        <item x="12"/>
        <item x="13"/>
        <item x="15"/>
        <item x="16"/>
        <item x="17"/>
        <item x="18"/>
        <item x="20"/>
        <item x="21"/>
        <item x="22"/>
        <item x="23"/>
        <item x="24"/>
        <item x="25"/>
        <item x="26"/>
        <item m="1" x="140"/>
        <item x="28"/>
        <item x="29"/>
        <item x="30"/>
        <item x="31"/>
        <item x="34"/>
        <item x="35"/>
        <item x="36"/>
        <item x="38"/>
        <item x="39"/>
        <item x="43"/>
        <item x="45"/>
        <item x="46"/>
        <item x="47"/>
        <item x="48"/>
        <item x="40"/>
        <item x="49"/>
        <item x="50"/>
        <item x="51"/>
        <item x="52"/>
        <item x="53"/>
        <item x="55"/>
        <item x="56"/>
        <item x="57"/>
        <item x="58"/>
        <item x="59"/>
        <item x="60"/>
        <item x="8"/>
        <item x="62"/>
        <item x="63"/>
        <item x="64"/>
        <item x="65"/>
        <item x="66"/>
        <item x="67"/>
        <item x="68"/>
        <item x="69"/>
        <item m="1" x="167"/>
        <item x="72"/>
        <item x="73"/>
        <item x="74"/>
        <item x="75"/>
        <item x="76"/>
        <item x="78"/>
        <item x="79"/>
        <item x="80"/>
        <item x="81"/>
        <item x="82"/>
        <item x="83"/>
        <item x="84"/>
        <item x="85"/>
        <item x="86"/>
        <item x="88"/>
        <item x="89"/>
        <item x="87"/>
        <item x="91"/>
        <item x="92"/>
        <item x="93"/>
        <item x="94"/>
        <item x="95"/>
        <item x="96"/>
        <item x="97"/>
        <item x="98"/>
        <item x="99"/>
        <item x="100"/>
        <item x="101"/>
        <item x="9"/>
        <item x="70"/>
        <item x="27"/>
        <item t="default"/>
      </items>
    </pivotField>
    <pivotField showAll="0"/>
    <pivotField showAll="0"/>
    <pivotField showAll="0"/>
    <pivotField dataField="1" showAll="0"/>
    <pivotField showAll="0"/>
    <pivotField dataField="1" showAll="0"/>
    <pivotField numFmtId="43" showAll="0"/>
    <pivotField axis="axisPage" multipleItemSelectionAllowed="1" showAll="0">
      <items count="4">
        <item x="1"/>
        <item h="1" x="0"/>
        <item m="1" x="2"/>
        <item t="default"/>
      </items>
    </pivotField>
    <pivotField numFmtId="2" showAll="0"/>
    <pivotField showAll="0"/>
  </pivotFields>
  <rowFields count="2">
    <field x="2"/>
    <field x="3"/>
  </rowFields>
  <rowItems count="11">
    <i>
      <x v="11"/>
    </i>
    <i>
      <x v="16"/>
    </i>
    <i>
      <x v="70"/>
    </i>
    <i r="1">
      <x v="307"/>
    </i>
    <i>
      <x v="178"/>
    </i>
    <i r="1">
      <x v="307"/>
    </i>
    <i>
      <x v="192"/>
    </i>
    <i r="1">
      <x v="307"/>
    </i>
    <i>
      <x v="193"/>
    </i>
    <i r="1">
      <x v="307"/>
    </i>
    <i t="grand">
      <x/>
    </i>
  </rowItems>
  <colFields count="1">
    <field x="-2"/>
  </colFields>
  <colItems count="2">
    <i>
      <x/>
    </i>
    <i i="1">
      <x v="1"/>
    </i>
  </colItems>
  <pageFields count="1">
    <pageField fld="11" hier="-1"/>
  </pageFields>
  <dataFields count="2">
    <dataField name="Amount Paid" fld="7" baseField="2" baseItem="1" numFmtId="168"/>
    <dataField name="Amount Received" fld="9" baseField="2" baseItem="15" numFmtId="168"/>
  </dataFields>
  <formats count="2">
    <format dxfId="11">
      <pivotArea collapsedLevelsAreSubtotals="1" fieldPosition="0">
        <references count="1">
          <reference field="2" count="1">
            <x v="195"/>
          </reference>
        </references>
      </pivotArea>
    </format>
    <format dxfId="10">
      <pivotArea collapsedLevelsAreSubtotals="1" fieldPosition="0">
        <references count="2">
          <reference field="2" count="1" selected="0">
            <x v="195"/>
          </reference>
          <reference field="3" count="1">
            <x v="309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C81CCEE-FBA7-4C1A-8B9B-419C80B9C26F}" name="PivotTable1" cacheId="0" applyNumberFormats="0" applyBorderFormats="0" applyFontFormats="0" applyPatternFormats="0" applyAlignmentFormats="0" applyWidthHeightFormats="1" dataCaption="Values" updatedVersion="6" minRefreshableVersion="3" useAutoFormatting="1" rowGrandTotals="0" colGrandTotals="0" itemPrintTitles="1" createdVersion="6" indent="0" outline="1" outlineData="1" multipleFieldFilters="0">
  <location ref="A45:A56" firstHeaderRow="1" firstDataRow="1" firstDataCol="1"/>
  <pivotFields count="1">
    <pivotField axis="axisRow" showAll="0">
      <items count="18">
        <item m="1" x="13"/>
        <item x="0"/>
        <item x="8"/>
        <item x="2"/>
        <item m="1" x="15"/>
        <item x="6"/>
        <item m="1" x="16"/>
        <item x="10"/>
        <item x="5"/>
        <item x="4"/>
        <item x="7"/>
        <item x="9"/>
        <item x="1"/>
        <item m="1" x="14"/>
        <item x="3"/>
        <item m="1" x="11"/>
        <item m="1" x="12"/>
        <item t="default"/>
      </items>
    </pivotField>
  </pivotFields>
  <rowFields count="1">
    <field x="0"/>
  </rowFields>
  <rowItems count="11">
    <i>
      <x v="1"/>
    </i>
    <i>
      <x v="2"/>
    </i>
    <i>
      <x v="3"/>
    </i>
    <i>
      <x v="5"/>
    </i>
    <i>
      <x v="7"/>
    </i>
    <i>
      <x v="8"/>
    </i>
    <i>
      <x v="9"/>
    </i>
    <i>
      <x v="10"/>
    </i>
    <i>
      <x v="11"/>
    </i>
    <i>
      <x v="12"/>
    </i>
    <i>
      <x v="14"/>
    </i>
  </rowItems>
  <colItems count="1">
    <i/>
  </colItem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C73A123-EFDD-4630-B3EF-007767843CBA}" name="Table24" displayName="Table24" ref="A2:N138" totalsRowCount="1" headerRowDxfId="38" dataDxfId="37" headerRowCellStyle="Comma" dataCellStyle="Comma">
  <autoFilter ref="A2:N137" xr:uid="{EA15916E-97D9-4263-B4A7-2F60449BBFA5}"/>
  <sortState xmlns:xlrd2="http://schemas.microsoft.com/office/spreadsheetml/2017/richdata2" ref="A3:N3">
    <sortCondition ref="A2:A3"/>
  </sortState>
  <tableColumns count="14">
    <tableColumn id="1" xr3:uid="{B82CA3FD-F6CD-4E2F-ADB2-921D0040C86A}" name="Document Date" dataDxfId="36" totalsRowDxfId="35"/>
    <tableColumn id="2" xr3:uid="{FD2AC5A2-E07E-4FD7-A216-C256C2FD2B05}" name="Payt. Sched. Month" dataDxfId="34" totalsRowDxfId="33"/>
    <tableColumn id="3" xr3:uid="{6EC96111-F409-484E-A784-36BBEA533A95}" name="Payee" dataDxfId="32" totalsRowDxfId="31"/>
    <tableColumn id="11" xr3:uid="{6DCCAD97-EFB8-4BA1-ADC9-1BEDDEBC1025}" name="Detail" dataDxfId="30" totalsRowDxfId="29"/>
    <tableColumn id="4" xr3:uid="{9A6C8C7B-8157-4B56-8340-CC9FB0CBFC51}" name="Doc. Ref." dataDxfId="28" totalsRowDxfId="27"/>
    <tableColumn id="17" xr3:uid="{423E76A5-73AB-4162-80DB-A21CE2313D39}" name="Category" dataDxfId="26" totalsRowDxfId="25"/>
    <tableColumn id="10" xr3:uid="{A06644F0-BE1D-45EC-93A5-E4AB85118AE4}" name="VAT Included" totalsRowFunction="sum" totalsRowDxfId="24" dataCellStyle="Currency"/>
    <tableColumn id="6" xr3:uid="{57413744-B5B8-4A8E-9CCD-C2571E76F960}" name="Expense Amount" totalsRowFunction="sum" dataDxfId="23" totalsRowDxfId="22" dataCellStyle="Currency"/>
    <tableColumn id="7" xr3:uid="{C32091C2-1EBD-4E37-A9B6-17F8C60E6F3E}" name="Exp. Not Yet Paid" dataDxfId="21" totalsRowDxfId="20" dataCellStyle="Currency"/>
    <tableColumn id="8" xr3:uid="{B0845E22-2E52-4C89-BD97-24A11E21EA08}" name="Receipt Amount" totalsRowFunction="sum" dataDxfId="19" totalsRowDxfId="18" dataCellStyle="Currency"/>
    <tableColumn id="9" xr3:uid="{E00D9BEE-5E14-4576-B7C5-C31724A60580}" name="Cash Book Balance" dataDxfId="17" totalsRowDxfId="16" dataCellStyle="Currency">
      <calculatedColumnFormula>IF(ISNUMBER(TRIM(K2)*1),K2-(H3-I3)+J3,(H3-I3)+J3)</calculatedColumnFormula>
    </tableColumn>
    <tableColumn id="12" xr3:uid="{D87BBE74-D514-4591-A158-9F223020F726}" name="Cleared the Bank" dataDxfId="15" dataCellStyle="Comma"/>
    <tableColumn id="13" xr3:uid="{BD61889C-B49B-45DC-A9C5-1BF382CD4743}" name="Bank Balance" dataDxfId="14" totalsRowDxfId="13" dataCellStyle="Comma">
      <calculatedColumnFormula>IF(""&amp;L3="Yes",J3-(H3-I3)+IF(ISNUMBER(TRIM(M2)*1),TRIM(M2)*1),IF(ISNUMBER(TRIM(M2)*1),TRIM(M2)*1,0))</calculatedColumnFormula>
    </tableColumn>
    <tableColumn id="14" xr3:uid="{95B37156-31D7-40C4-8CC1-28E28D7FB53C}" name="PeriodNumber" dataDxfId="12" dataCellStyle="Comma">
      <calculatedColumnFormula>INDEX(Periods13[MonthNo],MATCH(B3,ddMonths,0))</calculatedColumnFormula>
    </tableColumn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BC4B718-70D0-49CC-8761-0DE663B0A528}" name="Periods13" displayName="Periods13" ref="D2:F15" totalsRowShown="0" headerRowDxfId="5" dataDxfId="4" tableBorderDxfId="3">
  <autoFilter ref="D2:F15" xr:uid="{BAFEDCF3-0D75-4F65-B818-B721C9DE6029}"/>
  <tableColumns count="3">
    <tableColumn id="1" xr3:uid="{99B02D40-34D4-4571-A055-AE6063EF128A}" name="MonthNo" dataDxfId="2"/>
    <tableColumn id="2" xr3:uid="{F84A811E-56B0-41E3-B19B-A1BBEEB4AF7D}" name="Abbrev." dataDxfId="1"/>
    <tableColumn id="3" xr3:uid="{3787E9D4-816F-455B-8978-F6DFB7E8B758}" name="MonthName" dataDxfId="0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3CB1A04A-92E7-43E1-90F0-D0D311A8BCF0}" name="CategoryTable" displayName="CategoryTable" ref="A2:B43" totalsRowShown="0">
  <autoFilter ref="A2:B43" xr:uid="{C9686499-EC69-4342-A895-D3D5295EFBE5}"/>
  <sortState xmlns:xlrd2="http://schemas.microsoft.com/office/spreadsheetml/2017/richdata2" ref="A3:B43">
    <sortCondition ref="A2:A43"/>
  </sortState>
  <tableColumns count="2">
    <tableColumn id="1" xr3:uid="{FA2F2AB2-3EAF-4CB9-B228-55B6D139E9CD}" name="Name"/>
    <tableColumn id="2" xr3:uid="{886DEBAB-3826-4213-98CD-DD2BF99A01B4}" name="Section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printerSettings" Target="../printerSettings/printerSettings5.bin"/><Relationship Id="rId1" Type="http://schemas.openxmlformats.org/officeDocument/2006/relationships/pivotTable" Target="../pivotTables/pivotTable2.xml"/><Relationship Id="rId4" Type="http://schemas.openxmlformats.org/officeDocument/2006/relationships/table" Target="../tables/table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90B699-9147-46CD-9A2E-EF80F138F19D}">
  <sheetPr>
    <pageSetUpPr fitToPage="1"/>
  </sheetPr>
  <dimension ref="A1:N138"/>
  <sheetViews>
    <sheetView tabSelected="1" view="pageLayout" topLeftCell="A142" zoomScaleNormal="100" workbookViewId="0">
      <selection activeCell="A12" sqref="A12:M12"/>
    </sheetView>
  </sheetViews>
  <sheetFormatPr defaultRowHeight="15" x14ac:dyDescent="0.25"/>
  <cols>
    <col min="1" max="1" width="13.5703125" customWidth="1"/>
    <col min="2" max="2" width="10.5703125" style="12" customWidth="1"/>
    <col min="3" max="3" width="26.140625" customWidth="1"/>
    <col min="4" max="4" width="23.5703125" customWidth="1"/>
    <col min="5" max="5" width="7.5703125" customWidth="1"/>
    <col min="6" max="6" width="15.42578125" customWidth="1"/>
    <col min="7" max="7" width="10.85546875" customWidth="1"/>
    <col min="8" max="8" width="12.42578125" customWidth="1"/>
    <col min="9" max="9" width="9.42578125" customWidth="1"/>
    <col min="10" max="10" width="12.28515625" customWidth="1"/>
    <col min="11" max="11" width="14.5703125" customWidth="1"/>
    <col min="12" max="12" width="8.7109375"/>
    <col min="13" max="13" width="10.7109375" style="9" customWidth="1"/>
  </cols>
  <sheetData>
    <row r="1" spans="1:14" x14ac:dyDescent="0.25">
      <c r="A1" s="1"/>
      <c r="C1" s="26"/>
      <c r="D1" s="2"/>
      <c r="E1" s="2"/>
      <c r="F1" s="4"/>
      <c r="G1" s="4"/>
      <c r="H1" s="4"/>
      <c r="I1" s="4"/>
    </row>
    <row r="2" spans="1:14" ht="45" x14ac:dyDescent="0.25">
      <c r="A2" s="5" t="s">
        <v>0</v>
      </c>
      <c r="B2" s="13" t="s">
        <v>1</v>
      </c>
      <c r="C2" s="6" t="s">
        <v>2</v>
      </c>
      <c r="D2" s="6" t="s">
        <v>30</v>
      </c>
      <c r="E2" s="6" t="s">
        <v>3</v>
      </c>
      <c r="F2" s="6" t="s">
        <v>4</v>
      </c>
      <c r="G2" s="6" t="s">
        <v>5</v>
      </c>
      <c r="H2" s="7" t="s">
        <v>6</v>
      </c>
      <c r="I2" s="7" t="s">
        <v>7</v>
      </c>
      <c r="J2" s="7" t="s">
        <v>8</v>
      </c>
      <c r="K2" s="7" t="s">
        <v>31</v>
      </c>
      <c r="L2" s="58" t="s">
        <v>32</v>
      </c>
      <c r="M2" s="14" t="s">
        <v>33</v>
      </c>
      <c r="N2" s="28" t="s">
        <v>77</v>
      </c>
    </row>
    <row r="3" spans="1:14" x14ac:dyDescent="0.25">
      <c r="A3" s="11">
        <v>44652</v>
      </c>
      <c r="B3" s="25" t="s">
        <v>40</v>
      </c>
      <c r="C3" s="3" t="s">
        <v>137</v>
      </c>
      <c r="D3" s="3" t="s">
        <v>137</v>
      </c>
      <c r="E3" s="2"/>
      <c r="F3" s="2"/>
      <c r="G3" s="63"/>
      <c r="H3" s="63"/>
      <c r="I3" s="63"/>
      <c r="J3" s="63"/>
      <c r="K3" s="63">
        <v>27567.759999999998</v>
      </c>
      <c r="L3" s="59" t="s">
        <v>34</v>
      </c>
      <c r="M3" s="15">
        <f t="shared" ref="M3:M20" si="0">IF(""&amp;L3="Yes",J3-(H3-I3)+IF(ISNUMBER(TRIM(M2)*1),TRIM(M2)*1),IF(ISNUMBER(TRIM(M2)*1),TRIM(M2)*1,0))</f>
        <v>0</v>
      </c>
      <c r="N3" s="54">
        <f>INDEX(Periods13[MonthNo],MATCH(B3,ddMonths,0))</f>
        <v>1</v>
      </c>
    </row>
    <row r="4" spans="1:14" x14ac:dyDescent="0.25">
      <c r="A4" s="72">
        <v>44652</v>
      </c>
      <c r="B4" s="25" t="s">
        <v>40</v>
      </c>
      <c r="C4" s="74" t="s">
        <v>144</v>
      </c>
      <c r="D4" s="76" t="s">
        <v>10</v>
      </c>
      <c r="E4" s="2"/>
      <c r="F4" s="2" t="s">
        <v>10</v>
      </c>
      <c r="G4" s="84"/>
      <c r="H4" s="85"/>
      <c r="I4" s="85"/>
      <c r="J4" s="84">
        <v>12775</v>
      </c>
      <c r="K4" s="85">
        <f>IF(ISNUMBER(TRIM(K3)*1),K3-(H4-I4)+J4,(H4-I4)+J4)</f>
        <v>40342.759999999995</v>
      </c>
      <c r="L4" s="59" t="s">
        <v>34</v>
      </c>
      <c r="M4" s="60">
        <f t="shared" si="0"/>
        <v>12775</v>
      </c>
      <c r="N4" s="61">
        <f>INDEX(Periods13[MonthNo],MATCH(B4,ddMonths,0))</f>
        <v>1</v>
      </c>
    </row>
    <row r="5" spans="1:14" x14ac:dyDescent="0.25">
      <c r="A5" s="71">
        <v>44652</v>
      </c>
      <c r="B5" s="25" t="s">
        <v>40</v>
      </c>
      <c r="C5" s="73" t="s">
        <v>147</v>
      </c>
      <c r="D5" s="75" t="s">
        <v>126</v>
      </c>
      <c r="E5" s="2"/>
      <c r="F5" s="2" t="s">
        <v>126</v>
      </c>
      <c r="G5" s="86"/>
      <c r="H5" s="85"/>
      <c r="I5" s="85"/>
      <c r="J5" s="86">
        <v>216.13</v>
      </c>
      <c r="K5" s="85">
        <f>IF(ISNUMBER(TRIM(K4)*1),K4-(H5-I5)+J5,(H5-I5)+J5)</f>
        <v>40558.889999999992</v>
      </c>
      <c r="L5" s="59" t="s">
        <v>139</v>
      </c>
      <c r="M5" s="60">
        <f t="shared" si="0"/>
        <v>12991.13</v>
      </c>
      <c r="N5" s="61">
        <f>INDEX(Periods13[MonthNo],MATCH(B5,ddMonths,0))</f>
        <v>1</v>
      </c>
    </row>
    <row r="6" spans="1:14" x14ac:dyDescent="0.25">
      <c r="A6" s="72">
        <v>44652</v>
      </c>
      <c r="B6" s="25" t="s">
        <v>40</v>
      </c>
      <c r="C6" s="74" t="s">
        <v>148</v>
      </c>
      <c r="D6" s="76" t="s">
        <v>135</v>
      </c>
      <c r="E6" s="2"/>
      <c r="F6" s="2" t="s">
        <v>135</v>
      </c>
      <c r="G6" s="84"/>
      <c r="H6" s="85"/>
      <c r="I6" s="85"/>
      <c r="J6" s="84">
        <v>24</v>
      </c>
      <c r="K6" s="85">
        <f>IF(ISNUMBER(TRIM(K5)*1),K5-(H6-I6)+J6,(H6-I6)+J6)</f>
        <v>40582.889999999992</v>
      </c>
      <c r="L6" s="59" t="s">
        <v>34</v>
      </c>
      <c r="M6" s="60">
        <f t="shared" si="0"/>
        <v>13015.13</v>
      </c>
      <c r="N6" s="61">
        <f>INDEX(Periods13[MonthNo],MATCH(B6,ddMonths,0))</f>
        <v>1</v>
      </c>
    </row>
    <row r="7" spans="1:14" x14ac:dyDescent="0.25">
      <c r="A7" s="71">
        <v>44652</v>
      </c>
      <c r="B7" s="25" t="s">
        <v>40</v>
      </c>
      <c r="C7" s="73" t="s">
        <v>146</v>
      </c>
      <c r="D7" s="75" t="s">
        <v>136</v>
      </c>
      <c r="E7" s="2"/>
      <c r="F7" s="2" t="s">
        <v>136</v>
      </c>
      <c r="G7" s="86"/>
      <c r="H7" s="86">
        <v>24</v>
      </c>
      <c r="I7" s="63"/>
      <c r="J7" s="63"/>
      <c r="K7" s="63">
        <f t="shared" ref="K7:K20" si="1">IF(ISNUMBER(TRIM(K6)*1),K6-(H7-I7)+J7,(H7-I7)+J7)</f>
        <v>40558.889999999992</v>
      </c>
      <c r="L7" s="59" t="s">
        <v>34</v>
      </c>
      <c r="M7" s="15">
        <f t="shared" si="0"/>
        <v>12991.13</v>
      </c>
      <c r="N7" s="54">
        <f>INDEX(Periods13[MonthNo],MATCH(B7,ddMonths,0))</f>
        <v>1</v>
      </c>
    </row>
    <row r="8" spans="1:14" x14ac:dyDescent="0.25">
      <c r="A8" s="72">
        <v>44652</v>
      </c>
      <c r="B8" s="25" t="s">
        <v>40</v>
      </c>
      <c r="C8" s="74" t="s">
        <v>149</v>
      </c>
      <c r="D8" s="76" t="s">
        <v>122</v>
      </c>
      <c r="E8" s="2"/>
      <c r="F8" s="2" t="s">
        <v>122</v>
      </c>
      <c r="G8" s="84"/>
      <c r="H8" s="84">
        <v>53.06</v>
      </c>
      <c r="I8" s="63"/>
      <c r="J8" s="63"/>
      <c r="K8" s="63">
        <f t="shared" si="1"/>
        <v>40505.829999999994</v>
      </c>
      <c r="L8" s="59" t="s">
        <v>34</v>
      </c>
      <c r="M8" s="15">
        <f t="shared" si="0"/>
        <v>12938.07</v>
      </c>
      <c r="N8" s="54">
        <f>INDEX(Periods13[MonthNo],MATCH(B8,ddMonths,0))</f>
        <v>1</v>
      </c>
    </row>
    <row r="9" spans="1:14" ht="18" customHeight="1" x14ac:dyDescent="0.25">
      <c r="A9" s="71">
        <v>44652</v>
      </c>
      <c r="B9" s="25" t="s">
        <v>40</v>
      </c>
      <c r="C9" s="73" t="s">
        <v>150</v>
      </c>
      <c r="D9" s="75" t="s">
        <v>145</v>
      </c>
      <c r="E9" s="2"/>
      <c r="F9" s="2" t="s">
        <v>172</v>
      </c>
      <c r="G9" s="86"/>
      <c r="H9" s="86">
        <v>70.81</v>
      </c>
      <c r="I9" s="63"/>
      <c r="J9" s="63"/>
      <c r="K9" s="63">
        <f t="shared" si="1"/>
        <v>40435.019999999997</v>
      </c>
      <c r="L9" s="59" t="s">
        <v>34</v>
      </c>
      <c r="M9" s="15">
        <f t="shared" si="0"/>
        <v>12867.26</v>
      </c>
      <c r="N9" s="54">
        <f>INDEX(Periods13[MonthNo],MATCH(B9,ddMonths,0))</f>
        <v>1</v>
      </c>
    </row>
    <row r="10" spans="1:14" x14ac:dyDescent="0.25">
      <c r="A10" s="72">
        <v>44652</v>
      </c>
      <c r="B10" s="25" t="s">
        <v>40</v>
      </c>
      <c r="C10" s="74" t="s">
        <v>151</v>
      </c>
      <c r="D10" s="76" t="s">
        <v>11</v>
      </c>
      <c r="E10" s="2"/>
      <c r="F10" s="2" t="s">
        <v>11</v>
      </c>
      <c r="G10" s="84"/>
      <c r="H10" s="84">
        <v>1228.5</v>
      </c>
      <c r="I10" s="63"/>
      <c r="J10" s="63"/>
      <c r="K10" s="63">
        <f>IF(ISNUMBER(TRIM(K9)*1),K9-(H10-I10)+J10,(H10-I10)+J10)</f>
        <v>39206.519999999997</v>
      </c>
      <c r="L10" s="59" t="s">
        <v>34</v>
      </c>
      <c r="M10" s="15">
        <f>IF(""&amp;L10="Yes",J10-(H10-I10)+IF(ISNUMBER(TRIM(M9)*1),TRIM(M9)*1),IF(ISNUMBER(TRIM(M9)*1),TRIM(M9)*1,0))</f>
        <v>11638.76</v>
      </c>
      <c r="N10" s="54">
        <f>INDEX(Periods13[MonthNo],MATCH(B10,ddMonths,0))</f>
        <v>1</v>
      </c>
    </row>
    <row r="11" spans="1:14" x14ac:dyDescent="0.25">
      <c r="A11" s="71">
        <v>44652</v>
      </c>
      <c r="B11" s="25" t="s">
        <v>40</v>
      </c>
      <c r="C11" s="73" t="s">
        <v>152</v>
      </c>
      <c r="D11" s="75" t="s">
        <v>229</v>
      </c>
      <c r="E11" s="2"/>
      <c r="F11" s="2" t="s">
        <v>20</v>
      </c>
      <c r="G11" s="86">
        <v>29.6</v>
      </c>
      <c r="H11" s="86">
        <v>177.59</v>
      </c>
      <c r="I11" s="63"/>
      <c r="J11" s="63"/>
      <c r="K11" s="63">
        <f t="shared" si="1"/>
        <v>39028.93</v>
      </c>
      <c r="L11" s="59" t="s">
        <v>34</v>
      </c>
      <c r="M11" s="15">
        <f t="shared" si="0"/>
        <v>11461.17</v>
      </c>
      <c r="N11" s="54">
        <f>INDEX(Periods13[MonthNo],MATCH(B11,ddMonths,0))</f>
        <v>1</v>
      </c>
    </row>
    <row r="12" spans="1:14" x14ac:dyDescent="0.25">
      <c r="A12" s="72">
        <v>44652</v>
      </c>
      <c r="B12" s="94" t="s">
        <v>40</v>
      </c>
      <c r="C12" s="74" t="s">
        <v>288</v>
      </c>
      <c r="D12" s="76" t="s">
        <v>289</v>
      </c>
      <c r="E12" s="96"/>
      <c r="F12" s="96" t="s">
        <v>78</v>
      </c>
      <c r="G12" s="84"/>
      <c r="H12" s="84">
        <v>0</v>
      </c>
      <c r="I12" s="97"/>
      <c r="J12" s="97">
        <v>232.32</v>
      </c>
      <c r="K12" s="97">
        <f t="shared" si="1"/>
        <v>39261.25</v>
      </c>
      <c r="L12" s="98" t="s">
        <v>34</v>
      </c>
      <c r="M12" s="106">
        <f t="shared" si="0"/>
        <v>11693.49</v>
      </c>
      <c r="N12" s="54">
        <f>INDEX(Periods13[MonthNo],MATCH(B12,ddMonths,0))</f>
        <v>1</v>
      </c>
    </row>
    <row r="13" spans="1:14" x14ac:dyDescent="0.25">
      <c r="A13" s="71">
        <v>44652</v>
      </c>
      <c r="B13" s="25" t="s">
        <v>40</v>
      </c>
      <c r="C13" s="73" t="s">
        <v>153</v>
      </c>
      <c r="D13" s="75" t="s">
        <v>110</v>
      </c>
      <c r="E13" s="2"/>
      <c r="F13" s="2" t="s">
        <v>106</v>
      </c>
      <c r="G13" s="86"/>
      <c r="H13" s="86">
        <v>500</v>
      </c>
      <c r="I13" s="63"/>
      <c r="J13" s="63"/>
      <c r="K13" s="63">
        <f>IF(ISNUMBER(TRIM(K12)*1),K12-(H13-I13)+J13,(H13-I13)+J13)</f>
        <v>38761.25</v>
      </c>
      <c r="L13" s="59" t="s">
        <v>34</v>
      </c>
      <c r="M13" s="15">
        <f>IF(""&amp;L13="Yes",J13-(H13-I13)+IF(ISNUMBER(TRIM(M12)*1),TRIM(M12)*1),IF(ISNUMBER(TRIM(M12)*1),TRIM(M12)*1,0))</f>
        <v>11193.49</v>
      </c>
      <c r="N13" s="54">
        <f>INDEX(Periods13[MonthNo],MATCH(B13,ddMonths,0))</f>
        <v>1</v>
      </c>
    </row>
    <row r="14" spans="1:14" x14ac:dyDescent="0.25">
      <c r="A14" s="72">
        <v>44652</v>
      </c>
      <c r="B14" s="25" t="s">
        <v>40</v>
      </c>
      <c r="C14" s="74" t="s">
        <v>140</v>
      </c>
      <c r="D14" s="76" t="s">
        <v>118</v>
      </c>
      <c r="E14" s="2"/>
      <c r="F14" s="2" t="s">
        <v>118</v>
      </c>
      <c r="G14" s="84"/>
      <c r="H14" s="84">
        <v>1697.28</v>
      </c>
      <c r="I14" s="63"/>
      <c r="J14" s="63"/>
      <c r="K14" s="63">
        <f t="shared" si="1"/>
        <v>37063.97</v>
      </c>
      <c r="L14" s="59" t="s">
        <v>34</v>
      </c>
      <c r="M14" s="15">
        <f t="shared" si="0"/>
        <v>9496.2099999999991</v>
      </c>
      <c r="N14" s="54">
        <f>INDEX(Periods13[MonthNo],MATCH(B14,ddMonths,0))</f>
        <v>1</v>
      </c>
    </row>
    <row r="15" spans="1:14" x14ac:dyDescent="0.25">
      <c r="A15" s="71">
        <v>44652</v>
      </c>
      <c r="B15" s="25" t="s">
        <v>40</v>
      </c>
      <c r="C15" s="73" t="s">
        <v>142</v>
      </c>
      <c r="D15" s="75" t="s">
        <v>111</v>
      </c>
      <c r="E15" s="2"/>
      <c r="F15" s="2" t="s">
        <v>111</v>
      </c>
      <c r="G15" s="86">
        <v>11.08</v>
      </c>
      <c r="H15" s="86">
        <v>66.48</v>
      </c>
      <c r="I15" s="63"/>
      <c r="J15" s="63"/>
      <c r="K15" s="63">
        <f t="shared" si="1"/>
        <v>36997.49</v>
      </c>
      <c r="L15" s="59" t="s">
        <v>34</v>
      </c>
      <c r="M15" s="15">
        <f t="shared" si="0"/>
        <v>9429.73</v>
      </c>
      <c r="N15" s="54">
        <f>INDEX(Periods13[MonthNo],MATCH(B15,ddMonths,0))</f>
        <v>1</v>
      </c>
    </row>
    <row r="16" spans="1:14" x14ac:dyDescent="0.25">
      <c r="A16" s="72">
        <v>44652</v>
      </c>
      <c r="B16" s="25" t="s">
        <v>40</v>
      </c>
      <c r="C16" s="74" t="s">
        <v>141</v>
      </c>
      <c r="D16" s="76" t="s">
        <v>117</v>
      </c>
      <c r="E16" s="2"/>
      <c r="F16" s="2" t="s">
        <v>117</v>
      </c>
      <c r="G16" s="84">
        <v>13</v>
      </c>
      <c r="H16" s="84">
        <v>78</v>
      </c>
      <c r="I16" s="63"/>
      <c r="J16" s="63"/>
      <c r="K16" s="63">
        <f t="shared" si="1"/>
        <v>36919.49</v>
      </c>
      <c r="L16" s="59" t="s">
        <v>34</v>
      </c>
      <c r="M16" s="15">
        <f t="shared" si="0"/>
        <v>9351.73</v>
      </c>
      <c r="N16" s="54">
        <f>INDEX(Periods13[MonthNo],MATCH(B16,ddMonths,0))</f>
        <v>1</v>
      </c>
    </row>
    <row r="17" spans="1:14" x14ac:dyDescent="0.25">
      <c r="A17" s="71">
        <v>44652</v>
      </c>
      <c r="B17" s="25" t="s">
        <v>40</v>
      </c>
      <c r="C17" s="73" t="s">
        <v>143</v>
      </c>
      <c r="D17" s="75" t="s">
        <v>12</v>
      </c>
      <c r="E17" s="2"/>
      <c r="F17" s="2" t="s">
        <v>12</v>
      </c>
      <c r="G17" s="86">
        <v>263</v>
      </c>
      <c r="H17" s="86">
        <v>1578</v>
      </c>
      <c r="I17" s="63"/>
      <c r="J17" s="63"/>
      <c r="K17" s="63">
        <f t="shared" si="1"/>
        <v>35341.49</v>
      </c>
      <c r="L17" s="59" t="s">
        <v>34</v>
      </c>
      <c r="M17" s="15">
        <f t="shared" si="0"/>
        <v>7773.73</v>
      </c>
      <c r="N17" s="54">
        <f>INDEX(Periods13[MonthNo],MATCH(B17,ddMonths,0))</f>
        <v>1</v>
      </c>
    </row>
    <row r="18" spans="1:14" x14ac:dyDescent="0.25">
      <c r="A18" s="72">
        <v>44652</v>
      </c>
      <c r="B18" s="25" t="s">
        <v>40</v>
      </c>
      <c r="C18" s="74" t="s">
        <v>138</v>
      </c>
      <c r="D18" s="76" t="s">
        <v>13</v>
      </c>
      <c r="E18" s="2"/>
      <c r="F18" s="2" t="s">
        <v>13</v>
      </c>
      <c r="G18" s="84"/>
      <c r="H18" s="84">
        <v>70.989999999999995</v>
      </c>
      <c r="I18" s="63"/>
      <c r="J18" s="63"/>
      <c r="K18" s="63">
        <f t="shared" si="1"/>
        <v>35270.5</v>
      </c>
      <c r="L18" s="59" t="s">
        <v>34</v>
      </c>
      <c r="M18" s="15">
        <f t="shared" si="0"/>
        <v>7702.74</v>
      </c>
      <c r="N18" s="54">
        <f>INDEX(Periods13[MonthNo],MATCH(B18,ddMonths,0))</f>
        <v>1</v>
      </c>
    </row>
    <row r="19" spans="1:14" x14ac:dyDescent="0.25">
      <c r="A19" s="71">
        <v>44652</v>
      </c>
      <c r="B19" s="25" t="s">
        <v>40</v>
      </c>
      <c r="C19" s="73" t="s">
        <v>142</v>
      </c>
      <c r="D19" s="75" t="s">
        <v>111</v>
      </c>
      <c r="E19" s="2"/>
      <c r="F19" s="2" t="s">
        <v>111</v>
      </c>
      <c r="G19" s="86">
        <v>11.08</v>
      </c>
      <c r="H19" s="86">
        <v>66.48</v>
      </c>
      <c r="I19" s="63"/>
      <c r="J19" s="63"/>
      <c r="K19" s="63">
        <f t="shared" si="1"/>
        <v>35204.019999999997</v>
      </c>
      <c r="L19" s="59" t="s">
        <v>34</v>
      </c>
      <c r="M19" s="15">
        <f t="shared" si="0"/>
        <v>7636.26</v>
      </c>
      <c r="N19" s="54">
        <f>INDEX(Periods13[MonthNo],MATCH(B19,ddMonths,0))</f>
        <v>1</v>
      </c>
    </row>
    <row r="20" spans="1:14" ht="15" customHeight="1" x14ac:dyDescent="0.25">
      <c r="A20" s="72">
        <v>44652</v>
      </c>
      <c r="B20" s="25" t="s">
        <v>40</v>
      </c>
      <c r="C20" s="74" t="s">
        <v>154</v>
      </c>
      <c r="D20" s="76" t="s">
        <v>16</v>
      </c>
      <c r="E20" s="2"/>
      <c r="F20" s="2" t="s">
        <v>16</v>
      </c>
      <c r="G20" s="84"/>
      <c r="H20" s="84">
        <v>35</v>
      </c>
      <c r="I20" s="63"/>
      <c r="J20" s="63"/>
      <c r="K20" s="63">
        <f t="shared" si="1"/>
        <v>35169.019999999997</v>
      </c>
      <c r="L20" s="59" t="s">
        <v>34</v>
      </c>
      <c r="M20" s="15">
        <f t="shared" si="0"/>
        <v>7601.26</v>
      </c>
      <c r="N20" s="54">
        <f>INDEX(Periods13[MonthNo],MATCH(B20,ddMonths,0))</f>
        <v>1</v>
      </c>
    </row>
    <row r="21" spans="1:14" x14ac:dyDescent="0.25">
      <c r="A21" s="71">
        <v>44652</v>
      </c>
      <c r="B21" s="25" t="s">
        <v>40</v>
      </c>
      <c r="C21" s="73" t="s">
        <v>155</v>
      </c>
      <c r="D21" s="75" t="s">
        <v>17</v>
      </c>
      <c r="E21" s="2"/>
      <c r="F21" s="2" t="s">
        <v>17</v>
      </c>
      <c r="G21" s="86"/>
      <c r="H21" s="86">
        <v>35</v>
      </c>
      <c r="I21" s="85"/>
      <c r="J21" s="85"/>
      <c r="K21" s="85">
        <f>IF(ISNUMBER(TRIM(K20)*1),K20-(H21-I21)+J21,(H21-I21)+J21)</f>
        <v>35134.019999999997</v>
      </c>
      <c r="L21" s="59" t="s">
        <v>139</v>
      </c>
      <c r="M21" s="60">
        <f>IF(""&amp;L21="Yes",J21-(H21-I21)+IF(ISNUMBER(TRIM(M20)*1),TRIM(M20)*1),IF(ISNUMBER(TRIM(M20)*1),TRIM(M20)*1,0))</f>
        <v>7566.26</v>
      </c>
      <c r="N21" s="61">
        <f>INDEX(Periods13[MonthNo],MATCH(B21,ddMonths,0))</f>
        <v>1</v>
      </c>
    </row>
    <row r="22" spans="1:14" x14ac:dyDescent="0.25">
      <c r="A22" s="72">
        <v>44652</v>
      </c>
      <c r="B22" s="25" t="s">
        <v>40</v>
      </c>
      <c r="C22" s="74" t="s">
        <v>156</v>
      </c>
      <c r="D22" s="76" t="s">
        <v>115</v>
      </c>
      <c r="E22" s="2"/>
      <c r="F22" s="2" t="s">
        <v>115</v>
      </c>
      <c r="G22" s="84"/>
      <c r="H22" s="84">
        <v>500</v>
      </c>
      <c r="I22" s="85"/>
      <c r="J22" s="85"/>
      <c r="K22" s="85">
        <f>IF(ISNUMBER(TRIM(K21)*1),K21-(H22-I22)+J22,(H22-I22)+J22)</f>
        <v>34634.019999999997</v>
      </c>
      <c r="L22" s="59" t="s">
        <v>34</v>
      </c>
      <c r="M22" s="60">
        <f>IF(""&amp;L22="Yes",J22-(H22-I22)+IF(ISNUMBER(TRIM(M21)*1),TRIM(M21)*1),IF(ISNUMBER(TRIM(M21)*1),TRIM(M21)*1,0))</f>
        <v>7066.26</v>
      </c>
      <c r="N22" s="61">
        <f>INDEX(Periods13[MonthNo],MATCH(B22,ddMonths,0))</f>
        <v>1</v>
      </c>
    </row>
    <row r="23" spans="1:14" ht="13.9" customHeight="1" x14ac:dyDescent="0.25">
      <c r="A23" s="71">
        <v>44652</v>
      </c>
      <c r="B23" s="25" t="s">
        <v>40</v>
      </c>
      <c r="C23" s="73" t="s">
        <v>157</v>
      </c>
      <c r="D23" s="75" t="s">
        <v>135</v>
      </c>
      <c r="E23" s="2"/>
      <c r="F23" s="2" t="s">
        <v>135</v>
      </c>
      <c r="G23" s="86"/>
      <c r="H23" s="63"/>
      <c r="I23" s="63"/>
      <c r="J23" s="86">
        <v>6</v>
      </c>
      <c r="K23" s="63">
        <f t="shared" ref="K23:K43" si="2">IF(ISNUMBER(TRIM(K22)*1),K22-(H23-I23)+J23,(H23-I23)+J23)</f>
        <v>34640.019999999997</v>
      </c>
      <c r="L23" s="59" t="s">
        <v>34</v>
      </c>
      <c r="M23" s="15">
        <f t="shared" ref="M23:M43" si="3">IF(""&amp;L23="Yes",J23-(H23-I23)+IF(ISNUMBER(TRIM(M22)*1),TRIM(M22)*1),IF(ISNUMBER(TRIM(M22)*1),TRIM(M22)*1,0))</f>
        <v>7072.26</v>
      </c>
      <c r="N23" s="54">
        <f>INDEX(Periods13[MonthNo],MATCH(B23,ddMonths,0))</f>
        <v>1</v>
      </c>
    </row>
    <row r="24" spans="1:14" ht="13.9" customHeight="1" x14ac:dyDescent="0.25">
      <c r="A24" s="72">
        <v>44652</v>
      </c>
      <c r="B24" s="25" t="s">
        <v>40</v>
      </c>
      <c r="C24" s="74" t="s">
        <v>158</v>
      </c>
      <c r="D24" s="76" t="s">
        <v>136</v>
      </c>
      <c r="E24" s="2"/>
      <c r="F24" s="2" t="s">
        <v>136</v>
      </c>
      <c r="G24" s="84"/>
      <c r="H24" s="84">
        <v>6</v>
      </c>
      <c r="I24" s="63"/>
      <c r="J24" s="63"/>
      <c r="K24" s="63">
        <f t="shared" si="2"/>
        <v>34634.019999999997</v>
      </c>
      <c r="L24" s="59" t="s">
        <v>34</v>
      </c>
      <c r="M24" s="15">
        <f t="shared" si="3"/>
        <v>7066.26</v>
      </c>
      <c r="N24" s="54">
        <f>INDEX(Periods13[MonthNo],MATCH(B24,ddMonths,0))</f>
        <v>1</v>
      </c>
    </row>
    <row r="25" spans="1:14" ht="14.45" customHeight="1" x14ac:dyDescent="0.25">
      <c r="A25" s="71">
        <v>44652</v>
      </c>
      <c r="B25" s="25" t="s">
        <v>40</v>
      </c>
      <c r="C25" s="73" t="s">
        <v>150</v>
      </c>
      <c r="D25" s="75" t="s">
        <v>145</v>
      </c>
      <c r="E25" s="2"/>
      <c r="F25" s="2" t="s">
        <v>172</v>
      </c>
      <c r="G25" s="86"/>
      <c r="H25" s="86">
        <v>87</v>
      </c>
      <c r="I25" s="63"/>
      <c r="J25" s="63"/>
      <c r="K25" s="63">
        <f t="shared" si="2"/>
        <v>34547.019999999997</v>
      </c>
      <c r="L25" s="59" t="s">
        <v>34</v>
      </c>
      <c r="M25" s="15">
        <f t="shared" si="3"/>
        <v>6979.26</v>
      </c>
      <c r="N25" s="54">
        <f>INDEX(Periods13[MonthNo],MATCH(B25,ddMonths,0))</f>
        <v>1</v>
      </c>
    </row>
    <row r="26" spans="1:14" x14ac:dyDescent="0.25">
      <c r="A26" s="11">
        <v>44682</v>
      </c>
      <c r="B26" s="25" t="s">
        <v>41</v>
      </c>
      <c r="C26" s="3" t="s">
        <v>162</v>
      </c>
      <c r="D26" s="3" t="s">
        <v>163</v>
      </c>
      <c r="E26" s="2"/>
      <c r="F26" s="2" t="s">
        <v>114</v>
      </c>
      <c r="G26" s="63"/>
      <c r="H26" s="63"/>
      <c r="I26" s="63"/>
      <c r="J26" s="63">
        <v>22667.439999999999</v>
      </c>
      <c r="K26" s="63">
        <f t="shared" si="2"/>
        <v>57214.459999999992</v>
      </c>
      <c r="L26" s="59" t="s">
        <v>34</v>
      </c>
      <c r="M26" s="15">
        <f t="shared" si="3"/>
        <v>29646.699999999997</v>
      </c>
      <c r="N26" s="54">
        <f>INDEX(Periods13[MonthNo],MATCH(B26,ddMonths,0))</f>
        <v>2</v>
      </c>
    </row>
    <row r="27" spans="1:14" x14ac:dyDescent="0.25">
      <c r="A27" s="11">
        <v>44682</v>
      </c>
      <c r="B27" s="25" t="s">
        <v>41</v>
      </c>
      <c r="C27" s="3" t="s">
        <v>138</v>
      </c>
      <c r="D27" s="3" t="s">
        <v>164</v>
      </c>
      <c r="E27" s="2"/>
      <c r="F27" s="2" t="s">
        <v>11</v>
      </c>
      <c r="G27" s="63"/>
      <c r="H27" s="63">
        <v>982.77</v>
      </c>
      <c r="I27" s="63"/>
      <c r="J27" s="63"/>
      <c r="K27" s="63">
        <f t="shared" si="2"/>
        <v>56231.689999999995</v>
      </c>
      <c r="L27" s="59" t="s">
        <v>34</v>
      </c>
      <c r="M27" s="15">
        <f t="shared" si="3"/>
        <v>28663.93</v>
      </c>
      <c r="N27" s="54">
        <f>INDEX(Periods13[MonthNo],MATCH(B27,ddMonths,0))</f>
        <v>2</v>
      </c>
    </row>
    <row r="28" spans="1:14" x14ac:dyDescent="0.25">
      <c r="A28" s="11">
        <v>44682</v>
      </c>
      <c r="B28" s="25" t="s">
        <v>41</v>
      </c>
      <c r="C28" s="3" t="s">
        <v>165</v>
      </c>
      <c r="D28" s="3" t="s">
        <v>166</v>
      </c>
      <c r="E28" s="2"/>
      <c r="F28" s="2" t="s">
        <v>14</v>
      </c>
      <c r="G28" s="63"/>
      <c r="H28" s="63">
        <v>142</v>
      </c>
      <c r="I28" s="63"/>
      <c r="J28" s="63"/>
      <c r="K28" s="63">
        <f t="shared" si="2"/>
        <v>56089.689999999995</v>
      </c>
      <c r="L28" s="59" t="s">
        <v>34</v>
      </c>
      <c r="M28" s="15">
        <f t="shared" si="3"/>
        <v>28521.93</v>
      </c>
      <c r="N28" s="54">
        <f>INDEX(Periods13[MonthNo],MATCH(B28,ddMonths,0))</f>
        <v>2</v>
      </c>
    </row>
    <row r="29" spans="1:14" x14ac:dyDescent="0.25">
      <c r="A29" s="11">
        <v>44682</v>
      </c>
      <c r="B29" s="25" t="s">
        <v>41</v>
      </c>
      <c r="C29" s="3" t="s">
        <v>142</v>
      </c>
      <c r="D29" s="3" t="s">
        <v>167</v>
      </c>
      <c r="E29" s="2"/>
      <c r="F29" s="2" t="s">
        <v>111</v>
      </c>
      <c r="G29" s="63">
        <v>11.08</v>
      </c>
      <c r="H29" s="63">
        <v>66.48</v>
      </c>
      <c r="I29" s="63"/>
      <c r="J29" s="63"/>
      <c r="K29" s="63">
        <f t="shared" si="2"/>
        <v>56023.209999999992</v>
      </c>
      <c r="L29" s="59" t="s">
        <v>34</v>
      </c>
      <c r="M29" s="15">
        <f t="shared" si="3"/>
        <v>28455.45</v>
      </c>
      <c r="N29" s="54">
        <f>INDEX(Periods13[MonthNo],MATCH(B29,ddMonths,0))</f>
        <v>2</v>
      </c>
    </row>
    <row r="30" spans="1:14" x14ac:dyDescent="0.25">
      <c r="A30" s="11">
        <v>44682</v>
      </c>
      <c r="B30" s="25" t="s">
        <v>41</v>
      </c>
      <c r="C30" s="3" t="s">
        <v>155</v>
      </c>
      <c r="D30" s="3" t="s">
        <v>168</v>
      </c>
      <c r="E30" s="2"/>
      <c r="F30" s="2" t="s">
        <v>16</v>
      </c>
      <c r="G30" s="63"/>
      <c r="H30" s="63">
        <v>557.65</v>
      </c>
      <c r="I30" s="63"/>
      <c r="J30" s="63"/>
      <c r="K30" s="63">
        <f t="shared" si="2"/>
        <v>55465.55999999999</v>
      </c>
      <c r="L30" s="59" t="s">
        <v>34</v>
      </c>
      <c r="M30" s="15">
        <f t="shared" si="3"/>
        <v>27897.8</v>
      </c>
      <c r="N30" s="54">
        <f>INDEX(Periods13[MonthNo],MATCH(B30,ddMonths,0))</f>
        <v>2</v>
      </c>
    </row>
    <row r="31" spans="1:14" x14ac:dyDescent="0.25">
      <c r="A31" s="11">
        <v>44682</v>
      </c>
      <c r="B31" s="25" t="s">
        <v>41</v>
      </c>
      <c r="C31" s="3" t="s">
        <v>138</v>
      </c>
      <c r="D31" s="3" t="s">
        <v>169</v>
      </c>
      <c r="E31" s="2"/>
      <c r="F31" s="2" t="s">
        <v>13</v>
      </c>
      <c r="G31" s="63"/>
      <c r="H31" s="63">
        <v>86.24</v>
      </c>
      <c r="I31" s="63"/>
      <c r="J31" s="63"/>
      <c r="K31" s="63">
        <f t="shared" si="2"/>
        <v>55379.319999999992</v>
      </c>
      <c r="L31" s="59" t="s">
        <v>34</v>
      </c>
      <c r="M31" s="15">
        <f t="shared" si="3"/>
        <v>27811.559999999998</v>
      </c>
      <c r="N31" s="54">
        <f>INDEX(Periods13[MonthNo],MATCH(B31,ddMonths,0))</f>
        <v>2</v>
      </c>
    </row>
    <row r="32" spans="1:14" x14ac:dyDescent="0.25">
      <c r="A32" s="11">
        <v>44682</v>
      </c>
      <c r="B32" s="25" t="s">
        <v>41</v>
      </c>
      <c r="C32" s="3" t="s">
        <v>170</v>
      </c>
      <c r="D32" s="3" t="s">
        <v>171</v>
      </c>
      <c r="E32" s="2"/>
      <c r="F32" s="2" t="s">
        <v>172</v>
      </c>
      <c r="G32" s="63"/>
      <c r="H32" s="63">
        <v>316.54000000000002</v>
      </c>
      <c r="I32" s="63"/>
      <c r="J32" s="63"/>
      <c r="K32" s="63">
        <f>IF(ISNUMBER(TRIM(K31)*1),K31-(H32-I32)+J32,(H32-I32)+J32)</f>
        <v>55062.779999999992</v>
      </c>
      <c r="L32" s="59" t="s">
        <v>34</v>
      </c>
      <c r="M32" s="15">
        <f t="shared" si="3"/>
        <v>27495.02</v>
      </c>
      <c r="N32" s="54">
        <f>INDEX(Periods13[MonthNo],MATCH(B32,ddMonths,0))</f>
        <v>2</v>
      </c>
    </row>
    <row r="33" spans="1:14" ht="21" customHeight="1" x14ac:dyDescent="0.25">
      <c r="A33" s="11">
        <v>44682</v>
      </c>
      <c r="B33" s="25" t="s">
        <v>41</v>
      </c>
      <c r="C33" s="3" t="s">
        <v>173</v>
      </c>
      <c r="D33" s="3" t="s">
        <v>174</v>
      </c>
      <c r="E33" s="2"/>
      <c r="F33" s="2" t="s">
        <v>172</v>
      </c>
      <c r="G33" s="63"/>
      <c r="H33" s="63">
        <v>185.47</v>
      </c>
      <c r="I33" s="63"/>
      <c r="J33" s="63"/>
      <c r="K33" s="63">
        <f t="shared" si="2"/>
        <v>54877.30999999999</v>
      </c>
      <c r="L33" s="59" t="s">
        <v>34</v>
      </c>
      <c r="M33" s="15">
        <f t="shared" si="3"/>
        <v>27309.55</v>
      </c>
      <c r="N33" s="54">
        <f>INDEX(Periods13[MonthNo],MATCH(B33,ddMonths,0))</f>
        <v>2</v>
      </c>
    </row>
    <row r="34" spans="1:14" ht="16.5" customHeight="1" x14ac:dyDescent="0.25">
      <c r="A34" s="102">
        <v>44682</v>
      </c>
      <c r="B34" s="94" t="s">
        <v>41</v>
      </c>
      <c r="C34" s="95" t="s">
        <v>292</v>
      </c>
      <c r="D34" s="95" t="s">
        <v>289</v>
      </c>
      <c r="E34" s="96"/>
      <c r="F34" s="96" t="s">
        <v>78</v>
      </c>
      <c r="G34" s="97"/>
      <c r="H34" s="97">
        <v>0</v>
      </c>
      <c r="I34" s="97"/>
      <c r="J34" s="97">
        <v>65.94</v>
      </c>
      <c r="K34" s="103">
        <f>IF(ISNUMBER(TRIM(K33)*1),K33-(H34-I34)+J34,(H34-I34)+J34)</f>
        <v>54943.249999999993</v>
      </c>
      <c r="L34" s="104" t="s">
        <v>34</v>
      </c>
      <c r="M34" s="105">
        <f>IF(""&amp;L34="Yes",J34-(H34-I34)+IF(ISNUMBER(TRIM(M33)*1),TRIM(M33)*1),IF(ISNUMBER(TRIM(M33)*1),TRIM(M33)*1,0))</f>
        <v>27375.489999999998</v>
      </c>
      <c r="N34" s="54">
        <f>INDEX(Periods13[MonthNo],MATCH(B34,ddMonths,0))</f>
        <v>2</v>
      </c>
    </row>
    <row r="35" spans="1:14" ht="15.75" customHeight="1" x14ac:dyDescent="0.25">
      <c r="A35" s="99">
        <v>44652</v>
      </c>
      <c r="B35" s="90" t="s">
        <v>40</v>
      </c>
      <c r="C35" s="91" t="s">
        <v>138</v>
      </c>
      <c r="D35" s="91" t="s">
        <v>291</v>
      </c>
      <c r="E35" s="92"/>
      <c r="F35" s="92" t="s">
        <v>13</v>
      </c>
      <c r="G35" s="93"/>
      <c r="H35" s="93">
        <v>0</v>
      </c>
      <c r="I35" s="93"/>
      <c r="J35" s="93"/>
      <c r="K35" s="89">
        <f>IF(ISNUMBER(TRIM(K34)*1),K34-(H35-I35)+J35,(H35-I35)+J35)</f>
        <v>54943.249999999993</v>
      </c>
      <c r="L35" s="59" t="s">
        <v>34</v>
      </c>
      <c r="M35" s="15">
        <f>IF(""&amp;L35="Yes",J35-(H35-I35)+IF(ISNUMBER(TRIM(M33)*1),TRIM(M33)*1),IF(ISNUMBER(TRIM(M33)*1),TRIM(M33)*1,0))</f>
        <v>27309.55</v>
      </c>
      <c r="N35" s="54">
        <f>INDEX(Periods13[MonthNo],MATCH(B35,ddMonths,0))</f>
        <v>1</v>
      </c>
    </row>
    <row r="36" spans="1:14" x14ac:dyDescent="0.25">
      <c r="A36" s="11">
        <v>44682</v>
      </c>
      <c r="B36" s="25" t="s">
        <v>41</v>
      </c>
      <c r="C36" s="3" t="s">
        <v>143</v>
      </c>
      <c r="D36" s="3" t="s">
        <v>175</v>
      </c>
      <c r="E36" s="2"/>
      <c r="F36" s="2" t="s">
        <v>12</v>
      </c>
      <c r="G36" s="63">
        <v>109</v>
      </c>
      <c r="H36" s="63">
        <v>654</v>
      </c>
      <c r="I36" s="63"/>
      <c r="J36" s="63"/>
      <c r="K36" s="63">
        <f>IF(ISNUMBER(TRIM(K35)*1),K35-(H36-I36)+J36,(H36-I36)+J36)</f>
        <v>54289.249999999993</v>
      </c>
      <c r="L36" s="59" t="s">
        <v>34</v>
      </c>
      <c r="M36" s="15">
        <f>IF(""&amp;L36="Yes",J36-(H36-I36)+IF(ISNUMBER(TRIM(M35)*1),TRIM(M35)*1),IF(ISNUMBER(TRIM(M35)*1),TRIM(M35)*1,0))</f>
        <v>26655.55</v>
      </c>
      <c r="N36" s="54">
        <f>INDEX(Periods13[MonthNo],MATCH(B36,ddMonths,0))</f>
        <v>2</v>
      </c>
    </row>
    <row r="37" spans="1:14" x14ac:dyDescent="0.25">
      <c r="A37" s="11">
        <v>44682</v>
      </c>
      <c r="B37" s="25" t="s">
        <v>41</v>
      </c>
      <c r="C37" s="3" t="s">
        <v>141</v>
      </c>
      <c r="D37" s="3" t="s">
        <v>176</v>
      </c>
      <c r="E37" s="2"/>
      <c r="F37" s="2" t="s">
        <v>117</v>
      </c>
      <c r="G37" s="63">
        <v>37.630000000000003</v>
      </c>
      <c r="H37" s="63">
        <v>225.76</v>
      </c>
      <c r="I37" s="63"/>
      <c r="J37" s="63"/>
      <c r="K37" s="63">
        <f t="shared" si="2"/>
        <v>54063.489999999991</v>
      </c>
      <c r="L37" s="59" t="s">
        <v>34</v>
      </c>
      <c r="M37" s="15">
        <f t="shared" si="3"/>
        <v>26429.79</v>
      </c>
      <c r="N37" s="54">
        <f>INDEX(Periods13[MonthNo],MATCH(B37,ddMonths,0))</f>
        <v>2</v>
      </c>
    </row>
    <row r="38" spans="1:14" x14ac:dyDescent="0.25">
      <c r="A38" s="11">
        <v>44682</v>
      </c>
      <c r="B38" s="25" t="s">
        <v>41</v>
      </c>
      <c r="C38" s="3" t="s">
        <v>141</v>
      </c>
      <c r="D38" s="3" t="s">
        <v>177</v>
      </c>
      <c r="E38" s="2"/>
      <c r="F38" s="2" t="s">
        <v>117</v>
      </c>
      <c r="G38" s="63">
        <v>3.6</v>
      </c>
      <c r="H38" s="63">
        <v>21.6</v>
      </c>
      <c r="I38" s="63"/>
      <c r="J38" s="63"/>
      <c r="K38" s="63">
        <f t="shared" si="2"/>
        <v>54041.889999999992</v>
      </c>
      <c r="L38" s="59" t="s">
        <v>34</v>
      </c>
      <c r="M38" s="15">
        <f t="shared" si="3"/>
        <v>26408.190000000002</v>
      </c>
      <c r="N38" s="54">
        <f>INDEX(Periods13[MonthNo],MATCH(B38,ddMonths,0))</f>
        <v>2</v>
      </c>
    </row>
    <row r="39" spans="1:14" ht="19.5" customHeight="1" x14ac:dyDescent="0.25">
      <c r="A39" s="11">
        <v>44682</v>
      </c>
      <c r="B39" s="25" t="s">
        <v>41</v>
      </c>
      <c r="C39" s="3" t="s">
        <v>178</v>
      </c>
      <c r="D39" s="3" t="s">
        <v>171</v>
      </c>
      <c r="E39" s="2"/>
      <c r="F39" s="2" t="s">
        <v>172</v>
      </c>
      <c r="G39" s="63"/>
      <c r="H39" s="63">
        <v>316.54000000000002</v>
      </c>
      <c r="I39" s="63"/>
      <c r="J39" s="63"/>
      <c r="K39" s="63">
        <f t="shared" si="2"/>
        <v>53725.349999999991</v>
      </c>
      <c r="L39" s="59" t="s">
        <v>139</v>
      </c>
      <c r="M39" s="15">
        <f t="shared" si="3"/>
        <v>26091.649999999998</v>
      </c>
      <c r="N39" s="54">
        <f>INDEX(Periods13[MonthNo],MATCH(B39,ddMonths,0))</f>
        <v>2</v>
      </c>
    </row>
    <row r="40" spans="1:14" ht="19.5" customHeight="1" x14ac:dyDescent="0.25">
      <c r="A40" s="11">
        <v>44682</v>
      </c>
      <c r="B40" s="25" t="s">
        <v>41</v>
      </c>
      <c r="C40" s="3" t="s">
        <v>178</v>
      </c>
      <c r="D40" s="3" t="s">
        <v>174</v>
      </c>
      <c r="E40" s="2"/>
      <c r="F40" s="2" t="s">
        <v>172</v>
      </c>
      <c r="G40" s="63"/>
      <c r="H40" s="63">
        <v>158.72999999999999</v>
      </c>
      <c r="I40" s="63"/>
      <c r="J40" s="63"/>
      <c r="K40" s="63">
        <f t="shared" si="2"/>
        <v>53566.619999999988</v>
      </c>
      <c r="L40" s="59" t="s">
        <v>34</v>
      </c>
      <c r="M40" s="15">
        <f t="shared" si="3"/>
        <v>25932.920000000002</v>
      </c>
      <c r="N40" s="54">
        <f>INDEX(Periods13[MonthNo],MATCH(B40,ddMonths,0))</f>
        <v>2</v>
      </c>
    </row>
    <row r="41" spans="1:14" ht="21" customHeight="1" x14ac:dyDescent="0.25">
      <c r="A41" s="11">
        <v>44713</v>
      </c>
      <c r="B41" s="25" t="s">
        <v>56</v>
      </c>
      <c r="C41" s="3" t="s">
        <v>179</v>
      </c>
      <c r="D41" s="3" t="s">
        <v>180</v>
      </c>
      <c r="E41" s="2"/>
      <c r="F41" s="2" t="s">
        <v>115</v>
      </c>
      <c r="G41" s="63"/>
      <c r="H41" s="63">
        <v>100</v>
      </c>
      <c r="I41" s="63"/>
      <c r="J41" s="63"/>
      <c r="K41" s="63">
        <f t="shared" si="2"/>
        <v>53466.619999999988</v>
      </c>
      <c r="L41" s="59" t="s">
        <v>34</v>
      </c>
      <c r="M41" s="15">
        <f t="shared" si="3"/>
        <v>25832.92</v>
      </c>
      <c r="N41" s="54">
        <f>INDEX(Periods13[MonthNo],MATCH(B41,ddMonths,0))</f>
        <v>3</v>
      </c>
    </row>
    <row r="42" spans="1:14" x14ac:dyDescent="0.25">
      <c r="A42" s="11">
        <v>44713</v>
      </c>
      <c r="B42" s="25" t="s">
        <v>56</v>
      </c>
      <c r="C42" s="3" t="s">
        <v>181</v>
      </c>
      <c r="D42" s="3" t="s">
        <v>182</v>
      </c>
      <c r="E42" s="2"/>
      <c r="F42" s="2" t="s">
        <v>115</v>
      </c>
      <c r="G42" s="63"/>
      <c r="H42" s="63">
        <v>50</v>
      </c>
      <c r="I42" s="63"/>
      <c r="J42" s="63"/>
      <c r="K42" s="63">
        <f t="shared" si="2"/>
        <v>53416.619999999988</v>
      </c>
      <c r="L42" s="59" t="s">
        <v>34</v>
      </c>
      <c r="M42" s="15">
        <f t="shared" si="3"/>
        <v>25782.92</v>
      </c>
      <c r="N42" s="54">
        <f>INDEX(Periods13[MonthNo],MATCH(B42,ddMonths,0))</f>
        <v>3</v>
      </c>
    </row>
    <row r="43" spans="1:14" x14ac:dyDescent="0.25">
      <c r="A43" s="11">
        <v>44713</v>
      </c>
      <c r="B43" s="25" t="s">
        <v>56</v>
      </c>
      <c r="C43" s="3" t="s">
        <v>138</v>
      </c>
      <c r="D43" s="3" t="s">
        <v>164</v>
      </c>
      <c r="E43" s="2"/>
      <c r="F43" s="2" t="s">
        <v>11</v>
      </c>
      <c r="G43" s="63"/>
      <c r="H43" s="63">
        <v>982.77</v>
      </c>
      <c r="I43" s="63"/>
      <c r="J43" s="63"/>
      <c r="K43" s="63">
        <f t="shared" si="2"/>
        <v>52433.849999999991</v>
      </c>
      <c r="L43" s="59" t="s">
        <v>34</v>
      </c>
      <c r="M43" s="15">
        <f t="shared" si="3"/>
        <v>24800.149999999998</v>
      </c>
      <c r="N43" s="54">
        <f>INDEX(Periods13[MonthNo],MATCH(B43,ddMonths,0))</f>
        <v>3</v>
      </c>
    </row>
    <row r="44" spans="1:14" x14ac:dyDescent="0.25">
      <c r="A44" s="11">
        <v>44713</v>
      </c>
      <c r="B44" s="25" t="s">
        <v>56</v>
      </c>
      <c r="C44" s="3" t="s">
        <v>149</v>
      </c>
      <c r="D44" s="3" t="s">
        <v>183</v>
      </c>
      <c r="E44" s="2"/>
      <c r="F44" s="2" t="s">
        <v>122</v>
      </c>
      <c r="G44" s="63"/>
      <c r="H44" s="63">
        <v>53.06</v>
      </c>
      <c r="I44" s="63"/>
      <c r="J44" s="63"/>
      <c r="K44" s="63">
        <f t="shared" ref="K44:K64" si="4">IF(ISNUMBER(TRIM(K43)*1),K43-(H44-I44)+J44,(H44-I44)+J44)</f>
        <v>52380.789999999994</v>
      </c>
      <c r="L44" s="59" t="s">
        <v>34</v>
      </c>
      <c r="M44" s="15">
        <f t="shared" ref="M44:M64" si="5">IF(""&amp;L44="Yes",J44-(H44-I44)+IF(ISNUMBER(TRIM(M43)*1),TRIM(M43)*1),IF(ISNUMBER(TRIM(M43)*1),TRIM(M43)*1,0))</f>
        <v>24747.09</v>
      </c>
      <c r="N44" s="54">
        <f>INDEX(Periods13[MonthNo],MATCH(B44,ddMonths,0))</f>
        <v>3</v>
      </c>
    </row>
    <row r="45" spans="1:14" x14ac:dyDescent="0.25">
      <c r="A45" s="11">
        <v>44713</v>
      </c>
      <c r="B45" s="25" t="s">
        <v>56</v>
      </c>
      <c r="C45" s="3" t="s">
        <v>184</v>
      </c>
      <c r="D45" s="3" t="s">
        <v>185</v>
      </c>
      <c r="E45" s="2"/>
      <c r="F45" s="2" t="s">
        <v>53</v>
      </c>
      <c r="G45" s="63"/>
      <c r="H45" s="63"/>
      <c r="I45" s="63"/>
      <c r="J45" s="63">
        <v>4320.8599999999997</v>
      </c>
      <c r="K45" s="63">
        <f t="shared" si="4"/>
        <v>56701.649999999994</v>
      </c>
      <c r="L45" s="59" t="s">
        <v>34</v>
      </c>
      <c r="M45" s="15">
        <f t="shared" si="5"/>
        <v>29067.95</v>
      </c>
      <c r="N45" s="54">
        <f>INDEX(Periods13[MonthNo],MATCH(B45,ddMonths,0))</f>
        <v>3</v>
      </c>
    </row>
    <row r="46" spans="1:14" x14ac:dyDescent="0.25">
      <c r="A46" s="101">
        <v>44621</v>
      </c>
      <c r="B46" s="94" t="s">
        <v>56</v>
      </c>
      <c r="C46" s="95" t="s">
        <v>186</v>
      </c>
      <c r="D46" s="95" t="s">
        <v>187</v>
      </c>
      <c r="E46" s="96"/>
      <c r="F46" s="96" t="s">
        <v>115</v>
      </c>
      <c r="G46" s="97"/>
      <c r="H46" s="97">
        <v>0</v>
      </c>
      <c r="I46" s="97"/>
      <c r="J46" s="97"/>
      <c r="K46" s="97">
        <f t="shared" si="4"/>
        <v>56701.649999999994</v>
      </c>
      <c r="L46" s="98" t="s">
        <v>34</v>
      </c>
      <c r="M46" s="15">
        <f t="shared" si="5"/>
        <v>29067.95</v>
      </c>
      <c r="N46" s="54">
        <f>INDEX(Periods13[MonthNo],MATCH(B46,ddMonths,0))</f>
        <v>3</v>
      </c>
    </row>
    <row r="47" spans="1:14" x14ac:dyDescent="0.25">
      <c r="A47" s="11">
        <v>44713</v>
      </c>
      <c r="B47" s="25" t="s">
        <v>56</v>
      </c>
      <c r="C47" s="3" t="s">
        <v>188</v>
      </c>
      <c r="D47" s="3" t="s">
        <v>189</v>
      </c>
      <c r="E47" s="2"/>
      <c r="F47" s="2" t="s">
        <v>13</v>
      </c>
      <c r="G47" s="63"/>
      <c r="H47" s="63">
        <v>88.24</v>
      </c>
      <c r="I47" s="63"/>
      <c r="J47" s="63"/>
      <c r="K47" s="63">
        <f t="shared" si="4"/>
        <v>56613.409999999996</v>
      </c>
      <c r="L47" s="59" t="s">
        <v>34</v>
      </c>
      <c r="M47" s="15">
        <f t="shared" si="5"/>
        <v>28979.71</v>
      </c>
      <c r="N47" s="54">
        <f>INDEX(Periods13[MonthNo],MATCH(B47,ddMonths,0))</f>
        <v>3</v>
      </c>
    </row>
    <row r="48" spans="1:14" x14ac:dyDescent="0.25">
      <c r="A48" s="11">
        <v>44713</v>
      </c>
      <c r="B48" s="25" t="s">
        <v>56</v>
      </c>
      <c r="C48" s="3" t="s">
        <v>190</v>
      </c>
      <c r="D48" s="3" t="s">
        <v>191</v>
      </c>
      <c r="E48" s="2"/>
      <c r="F48" s="2" t="s">
        <v>115</v>
      </c>
      <c r="G48" s="63">
        <v>715.11</v>
      </c>
      <c r="H48" s="63">
        <v>4290.66</v>
      </c>
      <c r="I48" s="63"/>
      <c r="J48" s="63"/>
      <c r="K48" s="63">
        <f t="shared" si="4"/>
        <v>52322.75</v>
      </c>
      <c r="L48" s="59" t="s">
        <v>34</v>
      </c>
      <c r="M48" s="15">
        <f t="shared" si="5"/>
        <v>24689.05</v>
      </c>
      <c r="N48" s="54">
        <f>INDEX(Periods13[MonthNo],MATCH(B48,ddMonths,0))</f>
        <v>3</v>
      </c>
    </row>
    <row r="49" spans="1:14" x14ac:dyDescent="0.25">
      <c r="A49" s="11">
        <v>44713</v>
      </c>
      <c r="B49" s="25" t="s">
        <v>56</v>
      </c>
      <c r="C49" s="3" t="s">
        <v>143</v>
      </c>
      <c r="D49" s="3" t="s">
        <v>192</v>
      </c>
      <c r="E49" s="2"/>
      <c r="F49" s="2" t="s">
        <v>12</v>
      </c>
      <c r="G49" s="63">
        <v>109</v>
      </c>
      <c r="H49" s="63">
        <v>654</v>
      </c>
      <c r="I49" s="63"/>
      <c r="J49" s="63"/>
      <c r="K49" s="63">
        <f t="shared" si="4"/>
        <v>51668.75</v>
      </c>
      <c r="L49" s="59" t="s">
        <v>34</v>
      </c>
      <c r="M49" s="15">
        <f t="shared" si="5"/>
        <v>24035.05</v>
      </c>
      <c r="N49" s="54">
        <f>INDEX(Periods13[MonthNo],MATCH(B49,ddMonths,0))</f>
        <v>3</v>
      </c>
    </row>
    <row r="50" spans="1:14" x14ac:dyDescent="0.25">
      <c r="A50" s="11">
        <v>44713</v>
      </c>
      <c r="B50" s="25" t="s">
        <v>56</v>
      </c>
      <c r="C50" s="3" t="s">
        <v>142</v>
      </c>
      <c r="D50" s="3" t="s">
        <v>193</v>
      </c>
      <c r="E50" s="2"/>
      <c r="F50" s="2" t="s">
        <v>111</v>
      </c>
      <c r="G50" s="63">
        <v>11.08</v>
      </c>
      <c r="H50" s="63">
        <v>66.48</v>
      </c>
      <c r="I50" s="63"/>
      <c r="J50" s="63"/>
      <c r="K50" s="63">
        <f t="shared" si="4"/>
        <v>51602.27</v>
      </c>
      <c r="L50" s="59" t="s">
        <v>34</v>
      </c>
      <c r="M50" s="15">
        <f t="shared" si="5"/>
        <v>23968.57</v>
      </c>
      <c r="N50" s="54">
        <f>INDEX(Periods13[MonthNo],MATCH(B50,ddMonths,0))</f>
        <v>3</v>
      </c>
    </row>
    <row r="51" spans="1:14" x14ac:dyDescent="0.25">
      <c r="A51" s="11">
        <v>44713</v>
      </c>
      <c r="B51" s="25" t="s">
        <v>56</v>
      </c>
      <c r="C51" s="3" t="s">
        <v>194</v>
      </c>
      <c r="D51" s="3" t="s">
        <v>195</v>
      </c>
      <c r="E51" s="2"/>
      <c r="F51" s="2" t="s">
        <v>23</v>
      </c>
      <c r="G51" s="63">
        <v>42.42</v>
      </c>
      <c r="H51" s="63">
        <v>254.54</v>
      </c>
      <c r="I51" s="63"/>
      <c r="J51" s="63"/>
      <c r="K51" s="63">
        <f t="shared" si="4"/>
        <v>51347.729999999996</v>
      </c>
      <c r="L51" s="59" t="s">
        <v>34</v>
      </c>
      <c r="M51" s="15">
        <f t="shared" si="5"/>
        <v>23714.03</v>
      </c>
      <c r="N51" s="54">
        <f>INDEX(Periods13[MonthNo],MATCH(B51,ddMonths,0))</f>
        <v>3</v>
      </c>
    </row>
    <row r="52" spans="1:14" x14ac:dyDescent="0.25">
      <c r="A52" s="11">
        <v>44743</v>
      </c>
      <c r="B52" s="25" t="s">
        <v>42</v>
      </c>
      <c r="C52" s="3" t="s">
        <v>149</v>
      </c>
      <c r="D52" s="3" t="s">
        <v>207</v>
      </c>
      <c r="E52" s="2"/>
      <c r="F52" s="2" t="s">
        <v>11</v>
      </c>
      <c r="G52" s="63"/>
      <c r="H52" s="63">
        <v>53.06</v>
      </c>
      <c r="I52" s="63"/>
      <c r="J52" s="63"/>
      <c r="K52" s="63">
        <f t="shared" si="4"/>
        <v>51294.67</v>
      </c>
      <c r="L52" s="59" t="s">
        <v>139</v>
      </c>
      <c r="M52" s="15">
        <f t="shared" si="5"/>
        <v>23660.969999999998</v>
      </c>
      <c r="N52" s="54">
        <f>INDEX(Periods13[MonthNo],MATCH(B52,ddMonths,0))</f>
        <v>4</v>
      </c>
    </row>
    <row r="53" spans="1:14" x14ac:dyDescent="0.25">
      <c r="A53" s="11">
        <v>44743</v>
      </c>
      <c r="B53" s="25" t="s">
        <v>42</v>
      </c>
      <c r="C53" s="3" t="s">
        <v>138</v>
      </c>
      <c r="D53" s="3" t="s">
        <v>196</v>
      </c>
      <c r="E53" s="2"/>
      <c r="F53" s="2" t="s">
        <v>13</v>
      </c>
      <c r="G53" s="63"/>
      <c r="H53" s="63">
        <v>88.24</v>
      </c>
      <c r="I53" s="63"/>
      <c r="J53" s="63"/>
      <c r="K53" s="63">
        <f t="shared" si="4"/>
        <v>51206.43</v>
      </c>
      <c r="L53" s="59" t="s">
        <v>34</v>
      </c>
      <c r="M53" s="15">
        <f t="shared" si="5"/>
        <v>23572.73</v>
      </c>
      <c r="N53" s="54">
        <f>INDEX(Periods13[MonthNo],MATCH(B53,ddMonths,0))</f>
        <v>4</v>
      </c>
    </row>
    <row r="54" spans="1:14" x14ac:dyDescent="0.25">
      <c r="A54" s="11">
        <v>44743</v>
      </c>
      <c r="B54" s="25" t="s">
        <v>42</v>
      </c>
      <c r="C54" s="3" t="s">
        <v>197</v>
      </c>
      <c r="D54" s="3" t="s">
        <v>198</v>
      </c>
      <c r="E54" s="2"/>
      <c r="F54" s="2" t="s">
        <v>18</v>
      </c>
      <c r="G54" s="63">
        <v>48</v>
      </c>
      <c r="H54" s="63">
        <v>288</v>
      </c>
      <c r="I54" s="63"/>
      <c r="J54" s="63"/>
      <c r="K54" s="63">
        <f t="shared" si="4"/>
        <v>50918.43</v>
      </c>
      <c r="L54" s="59" t="s">
        <v>34</v>
      </c>
      <c r="M54" s="15">
        <f t="shared" si="5"/>
        <v>23284.73</v>
      </c>
      <c r="N54" s="54">
        <f>INDEX(Periods13[MonthNo],MATCH(B54,ddMonths,0))</f>
        <v>4</v>
      </c>
    </row>
    <row r="55" spans="1:14" x14ac:dyDescent="0.25">
      <c r="A55" s="11">
        <v>44743</v>
      </c>
      <c r="B55" s="25" t="s">
        <v>42</v>
      </c>
      <c r="C55" s="3" t="s">
        <v>144</v>
      </c>
      <c r="D55" s="3" t="s">
        <v>199</v>
      </c>
      <c r="E55" s="2"/>
      <c r="F55" s="2" t="s">
        <v>110</v>
      </c>
      <c r="G55" s="63">
        <v>82</v>
      </c>
      <c r="H55" s="63">
        <v>492</v>
      </c>
      <c r="I55" s="63"/>
      <c r="J55" s="63"/>
      <c r="K55" s="63">
        <f t="shared" si="4"/>
        <v>50426.43</v>
      </c>
      <c r="L55" s="59" t="s">
        <v>34</v>
      </c>
      <c r="M55" s="15">
        <f t="shared" si="5"/>
        <v>22792.73</v>
      </c>
      <c r="N55" s="54">
        <f>INDEX(Periods13[MonthNo],MATCH(B55,ddMonths,0))</f>
        <v>4</v>
      </c>
    </row>
    <row r="56" spans="1:14" x14ac:dyDescent="0.25">
      <c r="A56" s="11">
        <v>44743</v>
      </c>
      <c r="B56" s="25" t="s">
        <v>42</v>
      </c>
      <c r="C56" s="3" t="s">
        <v>142</v>
      </c>
      <c r="D56" s="3" t="s">
        <v>200</v>
      </c>
      <c r="E56" s="2"/>
      <c r="F56" s="2" t="s">
        <v>111</v>
      </c>
      <c r="G56" s="63">
        <v>13.85</v>
      </c>
      <c r="H56" s="63">
        <v>83.1</v>
      </c>
      <c r="I56" s="63"/>
      <c r="J56" s="63"/>
      <c r="K56" s="63">
        <f t="shared" si="4"/>
        <v>50343.33</v>
      </c>
      <c r="L56" s="59" t="s">
        <v>139</v>
      </c>
      <c r="M56" s="15">
        <f t="shared" si="5"/>
        <v>22709.63</v>
      </c>
      <c r="N56" s="54">
        <f>INDEX(Periods13[MonthNo],MATCH(B56,ddMonths,0))</f>
        <v>4</v>
      </c>
    </row>
    <row r="57" spans="1:14" x14ac:dyDescent="0.25">
      <c r="A57" s="11">
        <v>44743</v>
      </c>
      <c r="B57" s="25" t="s">
        <v>42</v>
      </c>
      <c r="C57" s="3" t="s">
        <v>142</v>
      </c>
      <c r="D57" s="3" t="s">
        <v>15</v>
      </c>
      <c r="E57" s="2"/>
      <c r="F57" s="2" t="s">
        <v>15</v>
      </c>
      <c r="G57" s="63">
        <v>8.4</v>
      </c>
      <c r="H57" s="63">
        <v>50.4</v>
      </c>
      <c r="I57" s="63"/>
      <c r="J57" s="63"/>
      <c r="K57" s="63">
        <f t="shared" si="4"/>
        <v>50292.93</v>
      </c>
      <c r="L57" s="59" t="s">
        <v>34</v>
      </c>
      <c r="M57" s="15">
        <f t="shared" si="5"/>
        <v>22659.23</v>
      </c>
      <c r="N57" s="54">
        <f>INDEX(Periods13[MonthNo],MATCH(B57,ddMonths,0))</f>
        <v>4</v>
      </c>
    </row>
    <row r="58" spans="1:14" x14ac:dyDescent="0.25">
      <c r="A58" s="11">
        <v>44743</v>
      </c>
      <c r="B58" s="25" t="s">
        <v>42</v>
      </c>
      <c r="C58" s="3" t="s">
        <v>142</v>
      </c>
      <c r="D58" s="3" t="s">
        <v>201</v>
      </c>
      <c r="E58" s="2"/>
      <c r="F58" s="2" t="s">
        <v>111</v>
      </c>
      <c r="G58" s="63">
        <v>16.62</v>
      </c>
      <c r="H58" s="63">
        <v>99.72</v>
      </c>
      <c r="I58" s="63"/>
      <c r="J58" s="63"/>
      <c r="K58" s="63">
        <f t="shared" si="4"/>
        <v>50193.21</v>
      </c>
      <c r="L58" s="59" t="s">
        <v>34</v>
      </c>
      <c r="M58" s="15">
        <f t="shared" si="5"/>
        <v>22559.51</v>
      </c>
      <c r="N58" s="54">
        <f>INDEX(Periods13[MonthNo],MATCH(B58,ddMonths,0))</f>
        <v>4</v>
      </c>
    </row>
    <row r="59" spans="1:14" x14ac:dyDescent="0.25">
      <c r="A59" s="11">
        <v>44743</v>
      </c>
      <c r="B59" s="25" t="s">
        <v>42</v>
      </c>
      <c r="C59" s="3" t="s">
        <v>142</v>
      </c>
      <c r="D59" s="3" t="s">
        <v>202</v>
      </c>
      <c r="E59" s="2"/>
      <c r="F59" s="2" t="s">
        <v>111</v>
      </c>
      <c r="G59" s="63">
        <v>16.62</v>
      </c>
      <c r="H59" s="63">
        <v>99.72</v>
      </c>
      <c r="I59" s="63"/>
      <c r="J59" s="63"/>
      <c r="K59" s="63">
        <f t="shared" si="4"/>
        <v>50093.49</v>
      </c>
      <c r="L59" s="59" t="s">
        <v>34</v>
      </c>
      <c r="M59" s="15">
        <f t="shared" si="5"/>
        <v>22459.789999999997</v>
      </c>
      <c r="N59" s="54">
        <f>INDEX(Periods13[MonthNo],MATCH(B59,ddMonths,0))</f>
        <v>4</v>
      </c>
    </row>
    <row r="60" spans="1:14" x14ac:dyDescent="0.25">
      <c r="A60" s="11">
        <v>44743</v>
      </c>
      <c r="B60" s="25" t="s">
        <v>42</v>
      </c>
      <c r="C60" s="3" t="s">
        <v>143</v>
      </c>
      <c r="D60" s="3" t="s">
        <v>12</v>
      </c>
      <c r="E60" s="2"/>
      <c r="F60" s="2" t="s">
        <v>12</v>
      </c>
      <c r="G60" s="63">
        <v>109</v>
      </c>
      <c r="H60" s="63">
        <v>654</v>
      </c>
      <c r="I60" s="63"/>
      <c r="J60" s="63"/>
      <c r="K60" s="63">
        <f t="shared" si="4"/>
        <v>49439.49</v>
      </c>
      <c r="L60" s="59" t="s">
        <v>34</v>
      </c>
      <c r="M60" s="15">
        <f t="shared" si="5"/>
        <v>21805.79</v>
      </c>
      <c r="N60" s="54">
        <f>INDEX(Periods13[MonthNo],MATCH(B60,ddMonths,0))</f>
        <v>4</v>
      </c>
    </row>
    <row r="61" spans="1:14" x14ac:dyDescent="0.25">
      <c r="A61" s="11">
        <v>44743</v>
      </c>
      <c r="B61" s="25" t="s">
        <v>42</v>
      </c>
      <c r="C61" s="3" t="s">
        <v>203</v>
      </c>
      <c r="D61" s="3" t="s">
        <v>126</v>
      </c>
      <c r="E61" s="2"/>
      <c r="F61" s="2" t="s">
        <v>126</v>
      </c>
      <c r="G61" s="63"/>
      <c r="H61" s="63"/>
      <c r="I61" s="63"/>
      <c r="J61" s="63">
        <v>221.16</v>
      </c>
      <c r="K61" s="63">
        <f t="shared" si="4"/>
        <v>49660.65</v>
      </c>
      <c r="L61" s="59" t="s">
        <v>34</v>
      </c>
      <c r="M61" s="15">
        <f t="shared" si="5"/>
        <v>22026.95</v>
      </c>
      <c r="N61" s="54">
        <f>INDEX(Periods13[MonthNo],MATCH(B61,ddMonths,0))</f>
        <v>4</v>
      </c>
    </row>
    <row r="62" spans="1:14" x14ac:dyDescent="0.25">
      <c r="A62" s="11">
        <v>44743</v>
      </c>
      <c r="B62" s="25" t="s">
        <v>42</v>
      </c>
      <c r="C62" s="3" t="s">
        <v>205</v>
      </c>
      <c r="D62" s="3" t="s">
        <v>204</v>
      </c>
      <c r="E62" s="2"/>
      <c r="F62" s="2" t="s">
        <v>172</v>
      </c>
      <c r="G62" s="63"/>
      <c r="H62" s="63">
        <v>316.54000000000002</v>
      </c>
      <c r="I62" s="63"/>
      <c r="J62" s="63"/>
      <c r="K62" s="63">
        <f t="shared" si="4"/>
        <v>49344.11</v>
      </c>
      <c r="L62" s="59" t="s">
        <v>34</v>
      </c>
      <c r="M62" s="15">
        <f t="shared" si="5"/>
        <v>21710.41</v>
      </c>
      <c r="N62" s="54">
        <f>INDEX(Periods13[MonthNo],MATCH(B62,ddMonths,0))</f>
        <v>4</v>
      </c>
    </row>
    <row r="63" spans="1:14" x14ac:dyDescent="0.25">
      <c r="A63" s="11">
        <v>44743</v>
      </c>
      <c r="B63" s="25" t="s">
        <v>42</v>
      </c>
      <c r="C63" s="3" t="s">
        <v>208</v>
      </c>
      <c r="D63" s="3" t="s">
        <v>209</v>
      </c>
      <c r="E63" s="2"/>
      <c r="F63" s="2" t="s">
        <v>11</v>
      </c>
      <c r="G63" s="63"/>
      <c r="H63" s="63">
        <v>982.77</v>
      </c>
      <c r="I63" s="63"/>
      <c r="J63" s="63"/>
      <c r="K63" s="63">
        <f t="shared" si="4"/>
        <v>48361.340000000004</v>
      </c>
      <c r="L63" s="59" t="s">
        <v>34</v>
      </c>
      <c r="M63" s="15">
        <f t="shared" si="5"/>
        <v>20727.64</v>
      </c>
      <c r="N63" s="54">
        <f>INDEX(Periods13[MonthNo],MATCH(B63,ddMonths,0))</f>
        <v>4</v>
      </c>
    </row>
    <row r="64" spans="1:14" x14ac:dyDescent="0.25">
      <c r="A64" s="11">
        <v>44774</v>
      </c>
      <c r="B64" s="25" t="s">
        <v>57</v>
      </c>
      <c r="C64" s="3" t="s">
        <v>149</v>
      </c>
      <c r="D64" s="3" t="s">
        <v>206</v>
      </c>
      <c r="E64" s="2"/>
      <c r="F64" s="2" t="s">
        <v>122</v>
      </c>
      <c r="G64" s="63"/>
      <c r="H64" s="63">
        <v>85.99</v>
      </c>
      <c r="I64" s="63"/>
      <c r="J64" s="63"/>
      <c r="K64" s="63">
        <f t="shared" si="4"/>
        <v>48275.350000000006</v>
      </c>
      <c r="L64" s="59" t="s">
        <v>34</v>
      </c>
      <c r="M64" s="15">
        <f t="shared" si="5"/>
        <v>20641.649999999998</v>
      </c>
      <c r="N64" s="54">
        <f>INDEX(Periods13[MonthNo],MATCH(B64,ddMonths,0))</f>
        <v>5</v>
      </c>
    </row>
    <row r="65" spans="1:14" x14ac:dyDescent="0.25">
      <c r="A65" s="11">
        <v>44774</v>
      </c>
      <c r="B65" s="25" t="s">
        <v>57</v>
      </c>
      <c r="C65" s="3" t="s">
        <v>138</v>
      </c>
      <c r="D65" s="3" t="s">
        <v>210</v>
      </c>
      <c r="E65" s="2"/>
      <c r="F65" s="2" t="s">
        <v>11</v>
      </c>
      <c r="G65" s="63"/>
      <c r="H65" s="63">
        <v>982.77</v>
      </c>
      <c r="I65" s="63"/>
      <c r="J65" s="63"/>
      <c r="K65" s="63">
        <f t="shared" ref="K65:K96" si="6">IF(ISNUMBER(TRIM(K64)*1),K64-(H65-I65)+J65,(H65-I65)+J65)</f>
        <v>47292.580000000009</v>
      </c>
      <c r="L65" s="59" t="s">
        <v>34</v>
      </c>
      <c r="M65" s="15">
        <f t="shared" ref="M65:M96" si="7">IF(""&amp;L65="Yes",J65-(H65-I65)+IF(ISNUMBER(TRIM(M64)*1),TRIM(M64)*1),IF(ISNUMBER(TRIM(M64)*1),TRIM(M64)*1,0))</f>
        <v>19658.88</v>
      </c>
      <c r="N65" s="54">
        <f>INDEX(Periods13[MonthNo],MATCH(B65,ddMonths,0))</f>
        <v>5</v>
      </c>
    </row>
    <row r="66" spans="1:14" x14ac:dyDescent="0.25">
      <c r="A66" s="11">
        <v>44774</v>
      </c>
      <c r="B66" s="25" t="s">
        <v>57</v>
      </c>
      <c r="C66" s="3" t="s">
        <v>138</v>
      </c>
      <c r="D66" s="3" t="s">
        <v>196</v>
      </c>
      <c r="E66" s="2"/>
      <c r="F66" s="2" t="s">
        <v>13</v>
      </c>
      <c r="G66" s="63"/>
      <c r="H66" s="63">
        <v>86.24</v>
      </c>
      <c r="I66" s="63"/>
      <c r="J66" s="63"/>
      <c r="K66" s="63">
        <f t="shared" si="6"/>
        <v>47206.340000000011</v>
      </c>
      <c r="L66" s="59" t="s">
        <v>34</v>
      </c>
      <c r="M66" s="15">
        <f t="shared" si="7"/>
        <v>19572.64</v>
      </c>
      <c r="N66" s="54">
        <f>INDEX(Periods13[MonthNo],MATCH(B66,ddMonths,0))</f>
        <v>5</v>
      </c>
    </row>
    <row r="67" spans="1:14" x14ac:dyDescent="0.25">
      <c r="A67" s="11">
        <v>44774</v>
      </c>
      <c r="B67" s="25" t="s">
        <v>57</v>
      </c>
      <c r="C67" s="3" t="s">
        <v>149</v>
      </c>
      <c r="D67" s="3" t="s">
        <v>211</v>
      </c>
      <c r="E67" s="2"/>
      <c r="F67" s="2" t="s">
        <v>122</v>
      </c>
      <c r="G67" s="63"/>
      <c r="H67" s="63">
        <v>85.99</v>
      </c>
      <c r="I67" s="63"/>
      <c r="J67" s="63"/>
      <c r="K67" s="63">
        <f t="shared" si="6"/>
        <v>47120.350000000013</v>
      </c>
      <c r="L67" s="59" t="s">
        <v>34</v>
      </c>
      <c r="M67" s="15">
        <f t="shared" si="7"/>
        <v>19486.649999999998</v>
      </c>
      <c r="N67" s="54">
        <f>INDEX(Periods13[MonthNo],MATCH(B67,ddMonths,0))</f>
        <v>5</v>
      </c>
    </row>
    <row r="68" spans="1:14" x14ac:dyDescent="0.25">
      <c r="A68" s="11">
        <v>44774</v>
      </c>
      <c r="B68" s="25" t="s">
        <v>57</v>
      </c>
      <c r="C68" s="3" t="s">
        <v>212</v>
      </c>
      <c r="D68" s="3" t="s">
        <v>213</v>
      </c>
      <c r="E68" s="2"/>
      <c r="F68" s="2" t="s">
        <v>110</v>
      </c>
      <c r="G68" s="63">
        <v>69</v>
      </c>
      <c r="H68" s="63">
        <v>414</v>
      </c>
      <c r="I68" s="63"/>
      <c r="J68" s="63"/>
      <c r="K68" s="63">
        <f t="shared" si="6"/>
        <v>46706.350000000013</v>
      </c>
      <c r="L68" s="59" t="s">
        <v>34</v>
      </c>
      <c r="M68" s="15">
        <f t="shared" si="7"/>
        <v>19072.650000000001</v>
      </c>
      <c r="N68" s="54">
        <f>INDEX(Periods13[MonthNo],MATCH(B68,ddMonths,0))</f>
        <v>5</v>
      </c>
    </row>
    <row r="69" spans="1:14" x14ac:dyDescent="0.25">
      <c r="A69" s="11">
        <v>44774</v>
      </c>
      <c r="B69" s="25" t="s">
        <v>57</v>
      </c>
      <c r="C69" s="3" t="s">
        <v>143</v>
      </c>
      <c r="D69" s="3" t="s">
        <v>214</v>
      </c>
      <c r="E69" s="2"/>
      <c r="F69" s="2" t="s">
        <v>12</v>
      </c>
      <c r="G69" s="63">
        <v>109</v>
      </c>
      <c r="H69" s="63">
        <v>654</v>
      </c>
      <c r="I69" s="63"/>
      <c r="J69" s="63"/>
      <c r="K69" s="63">
        <f t="shared" si="6"/>
        <v>46052.350000000013</v>
      </c>
      <c r="L69" s="59" t="s">
        <v>34</v>
      </c>
      <c r="M69" s="15">
        <f t="shared" si="7"/>
        <v>18418.650000000001</v>
      </c>
      <c r="N69" s="54">
        <f>INDEX(Periods13[MonthNo],MATCH(B69,ddMonths,0))</f>
        <v>5</v>
      </c>
    </row>
    <row r="70" spans="1:14" x14ac:dyDescent="0.25">
      <c r="A70" s="11">
        <v>44774</v>
      </c>
      <c r="B70" s="25" t="s">
        <v>57</v>
      </c>
      <c r="C70" s="3" t="s">
        <v>215</v>
      </c>
      <c r="D70" s="3" t="s">
        <v>216</v>
      </c>
      <c r="E70" s="2"/>
      <c r="F70" s="2" t="s">
        <v>18</v>
      </c>
      <c r="G70" s="63">
        <v>60</v>
      </c>
      <c r="H70" s="63">
        <v>360</v>
      </c>
      <c r="I70" s="63"/>
      <c r="J70" s="63"/>
      <c r="K70" s="63">
        <f t="shared" si="6"/>
        <v>45692.350000000013</v>
      </c>
      <c r="L70" s="59" t="s">
        <v>34</v>
      </c>
      <c r="M70" s="15">
        <f t="shared" si="7"/>
        <v>18058.650000000001</v>
      </c>
      <c r="N70" s="54">
        <f>INDEX(Periods13[MonthNo],MATCH(B70,ddMonths,0))</f>
        <v>5</v>
      </c>
    </row>
    <row r="71" spans="1:14" x14ac:dyDescent="0.25">
      <c r="A71" s="11">
        <v>44774</v>
      </c>
      <c r="B71" s="25" t="s">
        <v>217</v>
      </c>
      <c r="C71" s="3" t="s">
        <v>142</v>
      </c>
      <c r="D71" s="3" t="s">
        <v>218</v>
      </c>
      <c r="E71" s="2"/>
      <c r="F71" s="2" t="s">
        <v>111</v>
      </c>
      <c r="G71" s="63">
        <v>13.85</v>
      </c>
      <c r="H71" s="63">
        <v>83.1</v>
      </c>
      <c r="I71" s="63"/>
      <c r="J71" s="63"/>
      <c r="K71" s="63">
        <f t="shared" si="6"/>
        <v>45609.250000000015</v>
      </c>
      <c r="L71" s="59" t="s">
        <v>34</v>
      </c>
      <c r="M71" s="15">
        <f t="shared" si="7"/>
        <v>17975.550000000003</v>
      </c>
      <c r="N71" s="54">
        <f>INDEX(Periods13[MonthNo],MATCH(B71,ddMonths,0))</f>
        <v>5</v>
      </c>
    </row>
    <row r="72" spans="1:14" x14ac:dyDescent="0.25">
      <c r="A72" s="11">
        <v>44805</v>
      </c>
      <c r="B72" s="25" t="s">
        <v>57</v>
      </c>
      <c r="C72" s="3" t="s">
        <v>219</v>
      </c>
      <c r="D72" s="3" t="s">
        <v>220</v>
      </c>
      <c r="E72" s="2"/>
      <c r="F72" s="2" t="s">
        <v>172</v>
      </c>
      <c r="G72" s="63"/>
      <c r="H72" s="63">
        <v>286.73</v>
      </c>
      <c r="I72" s="63"/>
      <c r="J72" s="63"/>
      <c r="K72" s="63">
        <f t="shared" si="6"/>
        <v>45322.520000000011</v>
      </c>
      <c r="L72" s="59" t="s">
        <v>139</v>
      </c>
      <c r="M72" s="15">
        <f t="shared" si="7"/>
        <v>17688.82</v>
      </c>
      <c r="N72" s="54">
        <f>INDEX(Periods13[MonthNo],MATCH(B72,ddMonths,0))</f>
        <v>5</v>
      </c>
    </row>
    <row r="73" spans="1:14" x14ac:dyDescent="0.25">
      <c r="A73" s="11">
        <v>44805</v>
      </c>
      <c r="B73" s="25" t="s">
        <v>43</v>
      </c>
      <c r="C73" s="3" t="s">
        <v>138</v>
      </c>
      <c r="D73" s="3" t="s">
        <v>221</v>
      </c>
      <c r="E73" s="2"/>
      <c r="F73" s="2" t="s">
        <v>11</v>
      </c>
      <c r="G73" s="63"/>
      <c r="H73" s="63">
        <v>982.77</v>
      </c>
      <c r="I73" s="63"/>
      <c r="J73" s="63"/>
      <c r="K73" s="63">
        <f t="shared" si="6"/>
        <v>44339.750000000015</v>
      </c>
      <c r="L73" s="59" t="s">
        <v>34</v>
      </c>
      <c r="M73" s="15">
        <f t="shared" si="7"/>
        <v>16706.05</v>
      </c>
      <c r="N73" s="54">
        <f>INDEX(Periods13[MonthNo],MATCH(B73,ddMonths,0))</f>
        <v>6</v>
      </c>
    </row>
    <row r="74" spans="1:14" x14ac:dyDescent="0.25">
      <c r="A74" s="11">
        <v>44805</v>
      </c>
      <c r="B74" s="25" t="s">
        <v>43</v>
      </c>
      <c r="C74" s="3" t="s">
        <v>144</v>
      </c>
      <c r="D74" s="3" t="s">
        <v>10</v>
      </c>
      <c r="E74" s="2"/>
      <c r="F74" s="2" t="s">
        <v>10</v>
      </c>
      <c r="G74" s="63"/>
      <c r="H74" s="63"/>
      <c r="I74" s="63"/>
      <c r="J74" s="63">
        <v>12775</v>
      </c>
      <c r="K74" s="63">
        <f t="shared" si="6"/>
        <v>57114.750000000015</v>
      </c>
      <c r="L74" s="59" t="s">
        <v>34</v>
      </c>
      <c r="M74" s="15">
        <f t="shared" si="7"/>
        <v>29481.05</v>
      </c>
      <c r="N74" s="54">
        <f>INDEX(Periods13[MonthNo],MATCH(B74,ddMonths,0))</f>
        <v>6</v>
      </c>
    </row>
    <row r="75" spans="1:14" x14ac:dyDescent="0.25">
      <c r="A75" s="11">
        <v>44805</v>
      </c>
      <c r="B75" s="25" t="s">
        <v>43</v>
      </c>
      <c r="C75" s="3" t="s">
        <v>138</v>
      </c>
      <c r="D75" s="3" t="s">
        <v>222</v>
      </c>
      <c r="E75" s="2"/>
      <c r="F75" s="2" t="s">
        <v>122</v>
      </c>
      <c r="G75" s="63"/>
      <c r="H75" s="63">
        <v>85.99</v>
      </c>
      <c r="I75" s="63"/>
      <c r="J75" s="63"/>
      <c r="K75" s="63">
        <f t="shared" si="6"/>
        <v>57028.760000000017</v>
      </c>
      <c r="L75" s="59" t="s">
        <v>34</v>
      </c>
      <c r="M75" s="15">
        <f t="shared" si="7"/>
        <v>29395.059999999998</v>
      </c>
      <c r="N75" s="54">
        <f>INDEX(Periods13[MonthNo],MATCH(B75,ddMonths,0))</f>
        <v>6</v>
      </c>
    </row>
    <row r="76" spans="1:14" x14ac:dyDescent="0.25">
      <c r="A76" s="11">
        <v>44805</v>
      </c>
      <c r="B76" s="25" t="s">
        <v>43</v>
      </c>
      <c r="C76" s="3" t="s">
        <v>178</v>
      </c>
      <c r="D76" s="3" t="s">
        <v>223</v>
      </c>
      <c r="E76" s="2"/>
      <c r="F76" s="2" t="s">
        <v>172</v>
      </c>
      <c r="G76" s="63"/>
      <c r="H76" s="63">
        <v>286.73</v>
      </c>
      <c r="I76" s="63"/>
      <c r="J76" s="63"/>
      <c r="K76" s="63">
        <f t="shared" si="6"/>
        <v>56742.030000000013</v>
      </c>
      <c r="L76" s="59" t="s">
        <v>34</v>
      </c>
      <c r="M76" s="15">
        <f t="shared" si="7"/>
        <v>29108.33</v>
      </c>
      <c r="N76" s="54">
        <f>INDEX(Periods13[MonthNo],MATCH(B76,ddMonths,0))</f>
        <v>6</v>
      </c>
    </row>
    <row r="77" spans="1:14" x14ac:dyDescent="0.25">
      <c r="A77" s="11">
        <v>44805</v>
      </c>
      <c r="B77" s="25" t="s">
        <v>43</v>
      </c>
      <c r="C77" s="3" t="s">
        <v>142</v>
      </c>
      <c r="D77" s="3" t="s">
        <v>224</v>
      </c>
      <c r="E77" s="2"/>
      <c r="F77" s="2" t="s">
        <v>111</v>
      </c>
      <c r="G77" s="63">
        <v>11.08</v>
      </c>
      <c r="H77" s="63">
        <v>66.48</v>
      </c>
      <c r="I77" s="63"/>
      <c r="J77" s="63"/>
      <c r="K77" s="63">
        <f t="shared" si="6"/>
        <v>56675.55000000001</v>
      </c>
      <c r="L77" s="59" t="s">
        <v>34</v>
      </c>
      <c r="M77" s="15">
        <f t="shared" si="7"/>
        <v>29041.850000000002</v>
      </c>
      <c r="N77" s="54">
        <f>INDEX(Periods13[MonthNo],MATCH(B77,ddMonths,0))</f>
        <v>6</v>
      </c>
    </row>
    <row r="78" spans="1:14" x14ac:dyDescent="0.25">
      <c r="A78" s="11">
        <v>44805</v>
      </c>
      <c r="B78" s="25" t="s">
        <v>43</v>
      </c>
      <c r="C78" s="3" t="s">
        <v>142</v>
      </c>
      <c r="D78" s="3" t="s">
        <v>15</v>
      </c>
      <c r="E78" s="2"/>
      <c r="F78" s="2" t="s">
        <v>15</v>
      </c>
      <c r="G78" s="63">
        <v>22.8</v>
      </c>
      <c r="H78" s="63">
        <v>136.80000000000001</v>
      </c>
      <c r="I78" s="63"/>
      <c r="J78" s="63"/>
      <c r="K78" s="63">
        <f t="shared" si="6"/>
        <v>56538.750000000007</v>
      </c>
      <c r="L78" s="59" t="s">
        <v>34</v>
      </c>
      <c r="M78" s="15">
        <f t="shared" si="7"/>
        <v>28905.05</v>
      </c>
      <c r="N78" s="54">
        <f>INDEX(Periods13[MonthNo],MATCH(B78,ddMonths,0))</f>
        <v>6</v>
      </c>
    </row>
    <row r="79" spans="1:14" x14ac:dyDescent="0.25">
      <c r="A79" s="11">
        <v>44805</v>
      </c>
      <c r="B79" s="25" t="s">
        <v>43</v>
      </c>
      <c r="C79" s="3" t="s">
        <v>143</v>
      </c>
      <c r="D79" s="3" t="s">
        <v>12</v>
      </c>
      <c r="E79" s="2"/>
      <c r="F79" s="2" t="s">
        <v>12</v>
      </c>
      <c r="G79" s="63">
        <v>109</v>
      </c>
      <c r="H79" s="63">
        <v>654</v>
      </c>
      <c r="I79" s="63"/>
      <c r="J79" s="63"/>
      <c r="K79" s="63">
        <f t="shared" si="6"/>
        <v>55884.750000000007</v>
      </c>
      <c r="L79" s="59" t="s">
        <v>34</v>
      </c>
      <c r="M79" s="15">
        <f t="shared" si="7"/>
        <v>28251.05</v>
      </c>
      <c r="N79" s="54">
        <f>INDEX(Periods13[MonthNo],MATCH(B79,ddMonths,0))</f>
        <v>6</v>
      </c>
    </row>
    <row r="80" spans="1:14" x14ac:dyDescent="0.25">
      <c r="A80" s="11">
        <v>44805</v>
      </c>
      <c r="B80" s="25" t="s">
        <v>43</v>
      </c>
      <c r="C80" s="3" t="s">
        <v>138</v>
      </c>
      <c r="D80" s="3" t="s">
        <v>225</v>
      </c>
      <c r="E80" s="2"/>
      <c r="F80" s="2" t="s">
        <v>13</v>
      </c>
      <c r="G80" s="63"/>
      <c r="H80" s="63">
        <v>88.94</v>
      </c>
      <c r="I80" s="63"/>
      <c r="J80" s="63"/>
      <c r="K80" s="63">
        <f t="shared" si="6"/>
        <v>55795.810000000005</v>
      </c>
      <c r="L80" s="59" t="s">
        <v>34</v>
      </c>
      <c r="M80" s="15">
        <f t="shared" si="7"/>
        <v>28162.11</v>
      </c>
      <c r="N80" s="54">
        <f>INDEX(Periods13[MonthNo],MATCH(B80,ddMonths,0))</f>
        <v>6</v>
      </c>
    </row>
    <row r="81" spans="1:14" x14ac:dyDescent="0.25">
      <c r="A81" s="11">
        <v>44835</v>
      </c>
      <c r="B81" s="25" t="s">
        <v>44</v>
      </c>
      <c r="C81" s="3" t="s">
        <v>138</v>
      </c>
      <c r="D81" s="3" t="s">
        <v>226</v>
      </c>
      <c r="E81" s="2"/>
      <c r="F81" s="2" t="s">
        <v>11</v>
      </c>
      <c r="G81" s="63"/>
      <c r="H81" s="63">
        <v>982.77</v>
      </c>
      <c r="I81" s="63"/>
      <c r="J81" s="63"/>
      <c r="K81" s="63">
        <f t="shared" si="6"/>
        <v>54813.040000000008</v>
      </c>
      <c r="L81" s="59" t="s">
        <v>34</v>
      </c>
      <c r="M81" s="15">
        <f t="shared" si="7"/>
        <v>27179.34</v>
      </c>
      <c r="N81" s="54">
        <f>INDEX(Periods13[MonthNo],MATCH(B81,ddMonths,0))</f>
        <v>7</v>
      </c>
    </row>
    <row r="82" spans="1:14" x14ac:dyDescent="0.25">
      <c r="A82" s="11">
        <v>44835</v>
      </c>
      <c r="B82" s="25" t="s">
        <v>44</v>
      </c>
      <c r="C82" s="3" t="s">
        <v>227</v>
      </c>
      <c r="D82" s="3" t="s">
        <v>228</v>
      </c>
      <c r="E82" s="2"/>
      <c r="F82" s="2" t="s">
        <v>20</v>
      </c>
      <c r="G82" s="63">
        <v>40.369999999999997</v>
      </c>
      <c r="H82" s="63">
        <v>242.22</v>
      </c>
      <c r="I82" s="63"/>
      <c r="J82" s="63"/>
      <c r="K82" s="63">
        <f t="shared" si="6"/>
        <v>54570.820000000007</v>
      </c>
      <c r="L82" s="59" t="s">
        <v>34</v>
      </c>
      <c r="M82" s="15">
        <f t="shared" si="7"/>
        <v>26937.119999999999</v>
      </c>
      <c r="N82" s="54">
        <f>INDEX(Periods13[MonthNo],MATCH(B82,ddMonths,0))</f>
        <v>7</v>
      </c>
    </row>
    <row r="83" spans="1:14" x14ac:dyDescent="0.25">
      <c r="A83" s="11">
        <v>44835</v>
      </c>
      <c r="B83" s="25" t="s">
        <v>44</v>
      </c>
      <c r="C83" s="3" t="s">
        <v>230</v>
      </c>
      <c r="D83" s="3" t="s">
        <v>231</v>
      </c>
      <c r="E83" s="2"/>
      <c r="F83" s="2" t="s">
        <v>135</v>
      </c>
      <c r="G83" s="63"/>
      <c r="H83" s="63"/>
      <c r="I83" s="63"/>
      <c r="J83" s="63">
        <v>25</v>
      </c>
      <c r="K83" s="63">
        <f t="shared" si="6"/>
        <v>54595.820000000007</v>
      </c>
      <c r="L83" s="59" t="s">
        <v>34</v>
      </c>
      <c r="M83" s="15">
        <f t="shared" si="7"/>
        <v>26962.12</v>
      </c>
      <c r="N83" s="54">
        <f>INDEX(Periods13[MonthNo],MATCH(B83,ddMonths,0))</f>
        <v>7</v>
      </c>
    </row>
    <row r="84" spans="1:14" x14ac:dyDescent="0.25">
      <c r="A84" s="11">
        <v>44835</v>
      </c>
      <c r="B84" s="25" t="s">
        <v>44</v>
      </c>
      <c r="C84" s="3" t="s">
        <v>232</v>
      </c>
      <c r="D84" s="3" t="s">
        <v>233</v>
      </c>
      <c r="E84" s="2"/>
      <c r="F84" s="2" t="s">
        <v>115</v>
      </c>
      <c r="G84" s="63"/>
      <c r="H84" s="63">
        <v>50</v>
      </c>
      <c r="I84" s="63"/>
      <c r="J84" s="63"/>
      <c r="K84" s="63">
        <f t="shared" si="6"/>
        <v>54545.820000000007</v>
      </c>
      <c r="L84" s="59" t="s">
        <v>34</v>
      </c>
      <c r="M84" s="15">
        <f t="shared" si="7"/>
        <v>26912.12</v>
      </c>
      <c r="N84" s="54">
        <f>INDEX(Periods13[MonthNo],MATCH(B84,ddMonths,0))</f>
        <v>7</v>
      </c>
    </row>
    <row r="85" spans="1:14" x14ac:dyDescent="0.25">
      <c r="A85" s="11">
        <v>44835</v>
      </c>
      <c r="B85" s="25" t="s">
        <v>44</v>
      </c>
      <c r="C85" s="3" t="s">
        <v>234</v>
      </c>
      <c r="D85" s="3" t="s">
        <v>235</v>
      </c>
      <c r="E85" s="2"/>
      <c r="F85" s="2" t="s">
        <v>109</v>
      </c>
      <c r="G85" s="63"/>
      <c r="H85" s="63">
        <v>40</v>
      </c>
      <c r="I85" s="63"/>
      <c r="J85" s="63"/>
      <c r="K85" s="63">
        <f t="shared" si="6"/>
        <v>54505.820000000007</v>
      </c>
      <c r="L85" s="59" t="s">
        <v>34</v>
      </c>
      <c r="M85" s="15">
        <f t="shared" si="7"/>
        <v>26872.12</v>
      </c>
      <c r="N85" s="54">
        <f>INDEX(Periods13[MonthNo],MATCH(B85,ddMonths,0))</f>
        <v>7</v>
      </c>
    </row>
    <row r="86" spans="1:14" x14ac:dyDescent="0.25">
      <c r="A86" s="11">
        <v>44835</v>
      </c>
      <c r="B86" s="25" t="s">
        <v>44</v>
      </c>
      <c r="C86" s="3" t="s">
        <v>237</v>
      </c>
      <c r="D86" s="3" t="s">
        <v>236</v>
      </c>
      <c r="E86" s="2"/>
      <c r="F86" s="2" t="s">
        <v>117</v>
      </c>
      <c r="G86" s="63">
        <v>10.32</v>
      </c>
      <c r="H86" s="63">
        <v>61.85</v>
      </c>
      <c r="I86" s="63"/>
      <c r="J86" s="63"/>
      <c r="K86" s="63">
        <f t="shared" si="6"/>
        <v>54443.970000000008</v>
      </c>
      <c r="L86" s="59" t="s">
        <v>34</v>
      </c>
      <c r="M86" s="15">
        <f t="shared" si="7"/>
        <v>26810.27</v>
      </c>
      <c r="N86" s="54">
        <f>INDEX(Periods13[MonthNo],MATCH(B86,ddMonths,0))</f>
        <v>7</v>
      </c>
    </row>
    <row r="87" spans="1:14" x14ac:dyDescent="0.25">
      <c r="A87" s="11">
        <v>44835</v>
      </c>
      <c r="B87" s="25" t="s">
        <v>44</v>
      </c>
      <c r="C87" s="3" t="s">
        <v>142</v>
      </c>
      <c r="D87" s="3" t="s">
        <v>15</v>
      </c>
      <c r="E87" s="2"/>
      <c r="F87" s="2" t="s">
        <v>15</v>
      </c>
      <c r="G87" s="63">
        <v>4.78</v>
      </c>
      <c r="H87" s="63">
        <v>28.66</v>
      </c>
      <c r="I87" s="63"/>
      <c r="J87" s="63"/>
      <c r="K87" s="63">
        <f t="shared" si="6"/>
        <v>54415.310000000005</v>
      </c>
      <c r="L87" s="59" t="s">
        <v>34</v>
      </c>
      <c r="M87" s="15">
        <f t="shared" si="7"/>
        <v>26781.61</v>
      </c>
      <c r="N87" s="54">
        <f>INDEX(Periods13[MonthNo],MATCH(B87,ddMonths,0))</f>
        <v>7</v>
      </c>
    </row>
    <row r="88" spans="1:14" x14ac:dyDescent="0.25">
      <c r="A88" s="11">
        <v>44835</v>
      </c>
      <c r="B88" s="25" t="s">
        <v>44</v>
      </c>
      <c r="C88" s="3" t="s">
        <v>142</v>
      </c>
      <c r="D88" s="3" t="s">
        <v>238</v>
      </c>
      <c r="E88" s="2"/>
      <c r="F88" s="2" t="s">
        <v>111</v>
      </c>
      <c r="G88" s="63">
        <v>13.85</v>
      </c>
      <c r="H88" s="63">
        <v>83.1</v>
      </c>
      <c r="I88" s="63"/>
      <c r="J88" s="63"/>
      <c r="K88" s="63">
        <f t="shared" si="6"/>
        <v>54332.210000000006</v>
      </c>
      <c r="L88" s="59" t="s">
        <v>34</v>
      </c>
      <c r="M88" s="15">
        <f t="shared" si="7"/>
        <v>26698.510000000002</v>
      </c>
      <c r="N88" s="54">
        <f>INDEX(Periods13[MonthNo],MATCH(B88,ddMonths,0))</f>
        <v>7</v>
      </c>
    </row>
    <row r="89" spans="1:14" x14ac:dyDescent="0.25">
      <c r="A89" s="11">
        <v>44835</v>
      </c>
      <c r="B89" s="25" t="s">
        <v>44</v>
      </c>
      <c r="C89" s="3" t="s">
        <v>141</v>
      </c>
      <c r="D89" s="3" t="s">
        <v>239</v>
      </c>
      <c r="E89" s="2"/>
      <c r="F89" s="2" t="s">
        <v>117</v>
      </c>
      <c r="G89" s="63">
        <v>28.8</v>
      </c>
      <c r="H89" s="63">
        <v>172.8</v>
      </c>
      <c r="I89" s="63"/>
      <c r="J89" s="63"/>
      <c r="K89" s="63">
        <f t="shared" si="6"/>
        <v>54159.41</v>
      </c>
      <c r="L89" s="59" t="s">
        <v>34</v>
      </c>
      <c r="M89" s="15">
        <f t="shared" si="7"/>
        <v>26525.71</v>
      </c>
      <c r="N89" s="54">
        <f>INDEX(Periods13[MonthNo],MATCH(B89,ddMonths,0))</f>
        <v>7</v>
      </c>
    </row>
    <row r="90" spans="1:14" x14ac:dyDescent="0.25">
      <c r="A90" s="11">
        <v>44835</v>
      </c>
      <c r="B90" s="25" t="s">
        <v>44</v>
      </c>
      <c r="C90" s="3" t="s">
        <v>194</v>
      </c>
      <c r="D90" s="3" t="s">
        <v>290</v>
      </c>
      <c r="E90" s="2"/>
      <c r="F90" s="2" t="s">
        <v>23</v>
      </c>
      <c r="G90" s="63">
        <v>0</v>
      </c>
      <c r="H90" s="63">
        <v>229.59</v>
      </c>
      <c r="I90" s="63"/>
      <c r="J90" s="63"/>
      <c r="K90" s="63">
        <f t="shared" si="6"/>
        <v>53929.820000000007</v>
      </c>
      <c r="L90" s="59" t="s">
        <v>139</v>
      </c>
      <c r="M90" s="15">
        <f t="shared" si="7"/>
        <v>26296.12</v>
      </c>
      <c r="N90" s="54">
        <f>INDEX(Periods13[MonthNo],MATCH(B90,ddMonths,0))</f>
        <v>7</v>
      </c>
    </row>
    <row r="91" spans="1:14" x14ac:dyDescent="0.25">
      <c r="A91" s="11">
        <v>44835</v>
      </c>
      <c r="B91" s="25" t="s">
        <v>44</v>
      </c>
      <c r="C91" s="3" t="s">
        <v>138</v>
      </c>
      <c r="D91" s="3" t="s">
        <v>240</v>
      </c>
      <c r="E91" s="2"/>
      <c r="F91" s="2" t="s">
        <v>13</v>
      </c>
      <c r="G91" s="63"/>
      <c r="H91" s="63">
        <v>88.94</v>
      </c>
      <c r="I91" s="63"/>
      <c r="J91" s="63"/>
      <c r="K91" s="63">
        <f t="shared" si="6"/>
        <v>53840.880000000005</v>
      </c>
      <c r="L91" s="59" t="s">
        <v>34</v>
      </c>
      <c r="M91" s="15">
        <f t="shared" si="7"/>
        <v>26207.18</v>
      </c>
      <c r="N91" s="54">
        <f>INDEX(Periods13[MonthNo],MATCH(B91,ddMonths,0))</f>
        <v>7</v>
      </c>
    </row>
    <row r="92" spans="1:14" x14ac:dyDescent="0.25">
      <c r="A92" s="11">
        <v>44835</v>
      </c>
      <c r="B92" s="25" t="s">
        <v>44</v>
      </c>
      <c r="C92" s="3" t="s">
        <v>178</v>
      </c>
      <c r="D92" s="3" t="s">
        <v>241</v>
      </c>
      <c r="E92" s="2"/>
      <c r="F92" s="2" t="s">
        <v>172</v>
      </c>
      <c r="G92" s="63"/>
      <c r="H92" s="63">
        <v>286.73</v>
      </c>
      <c r="I92" s="63"/>
      <c r="J92" s="63"/>
      <c r="K92" s="63">
        <f t="shared" si="6"/>
        <v>53554.15</v>
      </c>
      <c r="L92" s="59" t="s">
        <v>34</v>
      </c>
      <c r="M92" s="15">
        <f t="shared" si="7"/>
        <v>25920.45</v>
      </c>
      <c r="N92" s="54">
        <f>INDEX(Periods13[MonthNo],MATCH(B92,ddMonths,0))</f>
        <v>7</v>
      </c>
    </row>
    <row r="93" spans="1:14" x14ac:dyDescent="0.25">
      <c r="A93" s="11">
        <v>44835</v>
      </c>
      <c r="B93" s="25" t="s">
        <v>44</v>
      </c>
      <c r="C93" s="3" t="s">
        <v>149</v>
      </c>
      <c r="D93" s="3" t="s">
        <v>183</v>
      </c>
      <c r="E93" s="2"/>
      <c r="F93" s="2" t="s">
        <v>122</v>
      </c>
      <c r="G93" s="63"/>
      <c r="H93" s="63">
        <v>85.99</v>
      </c>
      <c r="I93" s="63"/>
      <c r="J93" s="88"/>
      <c r="K93" s="63">
        <f t="shared" si="6"/>
        <v>53468.160000000003</v>
      </c>
      <c r="L93" s="59" t="s">
        <v>34</v>
      </c>
      <c r="M93" s="15">
        <f t="shared" si="7"/>
        <v>25834.46</v>
      </c>
      <c r="N93" s="54">
        <f>INDEX(Periods13[MonthNo],MATCH(B93,ddMonths,0))</f>
        <v>7</v>
      </c>
    </row>
    <row r="94" spans="1:14" x14ac:dyDescent="0.25">
      <c r="A94" s="11">
        <v>44835</v>
      </c>
      <c r="B94" s="25" t="s">
        <v>44</v>
      </c>
      <c r="C94" s="3" t="s">
        <v>143</v>
      </c>
      <c r="D94" s="3" t="s">
        <v>253</v>
      </c>
      <c r="E94" s="2"/>
      <c r="F94" s="2" t="s">
        <v>12</v>
      </c>
      <c r="G94" s="63">
        <v>263</v>
      </c>
      <c r="H94" s="63">
        <v>1578</v>
      </c>
      <c r="I94" s="63"/>
      <c r="J94" s="63"/>
      <c r="K94" s="63">
        <f t="shared" si="6"/>
        <v>51890.16</v>
      </c>
      <c r="L94" s="59" t="s">
        <v>34</v>
      </c>
      <c r="M94" s="15">
        <f t="shared" si="7"/>
        <v>24256.46</v>
      </c>
      <c r="N94" s="54">
        <f>INDEX(Periods13[MonthNo],MATCH(B94,ddMonths,0))</f>
        <v>7</v>
      </c>
    </row>
    <row r="95" spans="1:14" x14ac:dyDescent="0.25">
      <c r="A95" s="11">
        <v>44866</v>
      </c>
      <c r="B95" s="25" t="s">
        <v>45</v>
      </c>
      <c r="C95" s="3" t="s">
        <v>138</v>
      </c>
      <c r="D95" s="3" t="s">
        <v>243</v>
      </c>
      <c r="E95" s="2"/>
      <c r="F95" s="2" t="s">
        <v>11</v>
      </c>
      <c r="G95" s="63"/>
      <c r="H95" s="63">
        <v>982.77</v>
      </c>
      <c r="I95" s="63"/>
      <c r="J95" s="63"/>
      <c r="K95" s="63">
        <f t="shared" si="6"/>
        <v>50907.390000000007</v>
      </c>
      <c r="L95" s="59" t="s">
        <v>34</v>
      </c>
      <c r="M95" s="15">
        <f t="shared" si="7"/>
        <v>23273.69</v>
      </c>
      <c r="N95" s="54">
        <f>INDEX(Periods13[MonthNo],MATCH(B95,ddMonths,0))</f>
        <v>8</v>
      </c>
    </row>
    <row r="96" spans="1:14" x14ac:dyDescent="0.25">
      <c r="A96" s="11">
        <v>44866</v>
      </c>
      <c r="B96" s="25" t="s">
        <v>45</v>
      </c>
      <c r="C96" s="3" t="s">
        <v>244</v>
      </c>
      <c r="D96" s="3" t="s">
        <v>245</v>
      </c>
      <c r="E96" s="2"/>
      <c r="F96" s="2" t="s">
        <v>13</v>
      </c>
      <c r="G96" s="63"/>
      <c r="H96" s="63">
        <v>104.24</v>
      </c>
      <c r="I96" s="63"/>
      <c r="J96" s="63"/>
      <c r="K96" s="63">
        <f t="shared" si="6"/>
        <v>50803.150000000009</v>
      </c>
      <c r="L96" s="59" t="s">
        <v>34</v>
      </c>
      <c r="M96" s="15">
        <f t="shared" si="7"/>
        <v>23169.449999999997</v>
      </c>
      <c r="N96" s="54">
        <f>INDEX(Periods13[MonthNo],MATCH(B96,ddMonths,0))</f>
        <v>8</v>
      </c>
    </row>
    <row r="97" spans="1:14" x14ac:dyDescent="0.25">
      <c r="A97" s="11">
        <v>44866</v>
      </c>
      <c r="B97" s="25" t="s">
        <v>45</v>
      </c>
      <c r="C97" s="3" t="s">
        <v>246</v>
      </c>
      <c r="D97" s="3" t="s">
        <v>247</v>
      </c>
      <c r="E97" s="2"/>
      <c r="F97" s="2" t="s">
        <v>112</v>
      </c>
      <c r="G97" s="63">
        <v>47.18</v>
      </c>
      <c r="H97" s="63">
        <v>283.08</v>
      </c>
      <c r="I97" s="63"/>
      <c r="J97" s="63"/>
      <c r="K97" s="63">
        <f t="shared" ref="K97:K113" si="8">IF(ISNUMBER(TRIM(K96)*1),K96-(H97-I97)+J97,(H97-I97)+J97)</f>
        <v>50520.070000000007</v>
      </c>
      <c r="L97" s="59" t="s">
        <v>34</v>
      </c>
      <c r="M97" s="15">
        <f t="shared" ref="M97:M113" si="9">IF(""&amp;L97="Yes",J97-(H97-I97)+IF(ISNUMBER(TRIM(M96)*1),TRIM(M96)*1),IF(ISNUMBER(TRIM(M96)*1),TRIM(M96)*1,0))</f>
        <v>22886.37</v>
      </c>
      <c r="N97" s="54">
        <f>INDEX(Periods13[MonthNo],MATCH(B97,ddMonths,0))</f>
        <v>8</v>
      </c>
    </row>
    <row r="98" spans="1:14" x14ac:dyDescent="0.25">
      <c r="A98" s="11">
        <v>44866</v>
      </c>
      <c r="B98" s="25" t="s">
        <v>45</v>
      </c>
      <c r="C98" s="3" t="s">
        <v>143</v>
      </c>
      <c r="D98" s="3" t="s">
        <v>248</v>
      </c>
      <c r="E98" s="2"/>
      <c r="F98" s="2" t="s">
        <v>112</v>
      </c>
      <c r="G98" s="63">
        <v>22</v>
      </c>
      <c r="H98" s="63">
        <v>132</v>
      </c>
      <c r="I98" s="63"/>
      <c r="J98" s="63"/>
      <c r="K98" s="63">
        <f t="shared" si="8"/>
        <v>50388.070000000007</v>
      </c>
      <c r="L98" s="59" t="s">
        <v>34</v>
      </c>
      <c r="M98" s="15">
        <f t="shared" si="9"/>
        <v>22754.37</v>
      </c>
      <c r="N98" s="54">
        <f>INDEX(Periods13[MonthNo],MATCH(B98,ddMonths,0))</f>
        <v>8</v>
      </c>
    </row>
    <row r="99" spans="1:14" x14ac:dyDescent="0.25">
      <c r="A99" s="11">
        <v>44866</v>
      </c>
      <c r="B99" s="25" t="s">
        <v>45</v>
      </c>
      <c r="C99" s="3" t="s">
        <v>142</v>
      </c>
      <c r="D99" s="3" t="s">
        <v>249</v>
      </c>
      <c r="E99" s="2"/>
      <c r="F99" s="2" t="s">
        <v>15</v>
      </c>
      <c r="G99" s="63">
        <v>12</v>
      </c>
      <c r="H99" s="63">
        <v>72</v>
      </c>
      <c r="I99" s="63"/>
      <c r="J99" s="63"/>
      <c r="K99" s="63">
        <f t="shared" si="8"/>
        <v>50316.070000000007</v>
      </c>
      <c r="L99" s="59" t="s">
        <v>34</v>
      </c>
      <c r="M99" s="15">
        <f t="shared" si="9"/>
        <v>22682.37</v>
      </c>
      <c r="N99" s="54">
        <f>INDEX(Periods13[MonthNo],MATCH(B99,ddMonths,0))</f>
        <v>8</v>
      </c>
    </row>
    <row r="100" spans="1:14" x14ac:dyDescent="0.25">
      <c r="A100" s="11">
        <v>44866</v>
      </c>
      <c r="B100" s="25" t="s">
        <v>45</v>
      </c>
      <c r="C100" s="3" t="s">
        <v>142</v>
      </c>
      <c r="D100" s="3" t="s">
        <v>250</v>
      </c>
      <c r="E100" s="2"/>
      <c r="F100" s="2" t="s">
        <v>111</v>
      </c>
      <c r="G100" s="63">
        <v>11.08</v>
      </c>
      <c r="H100" s="63">
        <v>83.1</v>
      </c>
      <c r="I100" s="63"/>
      <c r="J100" s="63"/>
      <c r="K100" s="63">
        <f t="shared" si="8"/>
        <v>50232.970000000008</v>
      </c>
      <c r="L100" s="59" t="s">
        <v>34</v>
      </c>
      <c r="M100" s="15">
        <f t="shared" si="9"/>
        <v>22599.27</v>
      </c>
      <c r="N100" s="54">
        <f>INDEX(Periods13[MonthNo],MATCH(B100,ddMonths,0))</f>
        <v>8</v>
      </c>
    </row>
    <row r="101" spans="1:14" x14ac:dyDescent="0.25">
      <c r="A101" s="11">
        <v>44866</v>
      </c>
      <c r="B101" s="25" t="s">
        <v>45</v>
      </c>
      <c r="C101" s="3" t="s">
        <v>251</v>
      </c>
      <c r="D101" s="3" t="s">
        <v>252</v>
      </c>
      <c r="E101" s="2"/>
      <c r="F101" s="2" t="s">
        <v>14</v>
      </c>
      <c r="G101" s="63"/>
      <c r="H101" s="63">
        <v>60</v>
      </c>
      <c r="I101" s="63"/>
      <c r="J101" s="63"/>
      <c r="K101" s="63">
        <f t="shared" si="8"/>
        <v>50172.970000000008</v>
      </c>
      <c r="L101" s="59" t="s">
        <v>34</v>
      </c>
      <c r="M101" s="15">
        <f t="shared" si="9"/>
        <v>22539.27</v>
      </c>
      <c r="N101" s="54">
        <f>INDEX(Periods13[MonthNo],MATCH(B101,ddMonths,0))</f>
        <v>8</v>
      </c>
    </row>
    <row r="102" spans="1:14" x14ac:dyDescent="0.25">
      <c r="A102" s="11">
        <v>44866</v>
      </c>
      <c r="B102" s="25" t="s">
        <v>45</v>
      </c>
      <c r="C102" s="3" t="s">
        <v>149</v>
      </c>
      <c r="D102" s="3" t="s">
        <v>122</v>
      </c>
      <c r="E102" s="2"/>
      <c r="F102" s="2" t="s">
        <v>122</v>
      </c>
      <c r="G102" s="63"/>
      <c r="H102" s="63">
        <v>85.99</v>
      </c>
      <c r="I102" s="63"/>
      <c r="J102" s="63"/>
      <c r="K102" s="63">
        <f t="shared" si="8"/>
        <v>50086.98000000001</v>
      </c>
      <c r="L102" s="59" t="s">
        <v>34</v>
      </c>
      <c r="M102" s="15">
        <f t="shared" si="9"/>
        <v>22453.279999999999</v>
      </c>
      <c r="N102" s="54">
        <f>INDEX(Periods13[MonthNo],MATCH(B102,ddMonths,0))</f>
        <v>8</v>
      </c>
    </row>
    <row r="103" spans="1:14" x14ac:dyDescent="0.25">
      <c r="A103" s="11">
        <v>44866</v>
      </c>
      <c r="B103" s="25" t="s">
        <v>45</v>
      </c>
      <c r="C103" s="3" t="s">
        <v>178</v>
      </c>
      <c r="D103" s="3" t="s">
        <v>254</v>
      </c>
      <c r="E103" s="2"/>
      <c r="F103" s="2" t="s">
        <v>172</v>
      </c>
      <c r="G103" s="63"/>
      <c r="H103" s="63">
        <v>248.78</v>
      </c>
      <c r="I103" s="63"/>
      <c r="J103" s="63"/>
      <c r="K103" s="63">
        <f t="shared" si="8"/>
        <v>49838.200000000012</v>
      </c>
      <c r="L103" s="59" t="s">
        <v>34</v>
      </c>
      <c r="M103" s="15">
        <f t="shared" si="9"/>
        <v>22204.5</v>
      </c>
      <c r="N103" s="54">
        <f>INDEX(Periods13[MonthNo],MATCH(B103,ddMonths,0))</f>
        <v>8</v>
      </c>
    </row>
    <row r="104" spans="1:14" x14ac:dyDescent="0.25">
      <c r="A104" s="11">
        <v>44866</v>
      </c>
      <c r="B104" s="25" t="s">
        <v>45</v>
      </c>
      <c r="C104" s="3" t="s">
        <v>194</v>
      </c>
      <c r="D104" s="3" t="s">
        <v>255</v>
      </c>
      <c r="E104" s="2"/>
      <c r="F104" s="2" t="s">
        <v>78</v>
      </c>
      <c r="G104" s="63"/>
      <c r="H104" s="63"/>
      <c r="I104" s="63"/>
      <c r="J104" s="63">
        <v>229.59</v>
      </c>
      <c r="K104" s="63">
        <f t="shared" si="8"/>
        <v>50067.790000000008</v>
      </c>
      <c r="L104" s="59" t="s">
        <v>139</v>
      </c>
      <c r="M104" s="15">
        <f t="shared" si="9"/>
        <v>22434.09</v>
      </c>
      <c r="N104" s="54">
        <f>INDEX(Periods13[MonthNo],MATCH(B104,ddMonths,0))</f>
        <v>8</v>
      </c>
    </row>
    <row r="105" spans="1:14" x14ac:dyDescent="0.25">
      <c r="A105" s="11">
        <v>44866</v>
      </c>
      <c r="B105" s="25" t="s">
        <v>45</v>
      </c>
      <c r="C105" s="3" t="s">
        <v>256</v>
      </c>
      <c r="D105" s="3" t="s">
        <v>126</v>
      </c>
      <c r="E105" s="2"/>
      <c r="F105" s="2" t="s">
        <v>126</v>
      </c>
      <c r="G105" s="63"/>
      <c r="H105" s="63"/>
      <c r="I105" s="63"/>
      <c r="J105" s="63">
        <v>252.96</v>
      </c>
      <c r="K105" s="63">
        <f t="shared" si="8"/>
        <v>50320.750000000007</v>
      </c>
      <c r="L105" s="59" t="s">
        <v>34</v>
      </c>
      <c r="M105" s="15">
        <f t="shared" si="9"/>
        <v>22687.05</v>
      </c>
      <c r="N105" s="54">
        <f>INDEX(Periods13[MonthNo],MATCH(B105,ddMonths,0))</f>
        <v>8</v>
      </c>
    </row>
    <row r="106" spans="1:14" x14ac:dyDescent="0.25">
      <c r="A106" s="11">
        <v>44866</v>
      </c>
      <c r="B106" s="25" t="s">
        <v>45</v>
      </c>
      <c r="C106" s="3" t="s">
        <v>257</v>
      </c>
      <c r="D106" s="3" t="s">
        <v>258</v>
      </c>
      <c r="E106" s="2"/>
      <c r="F106" s="2" t="s">
        <v>110</v>
      </c>
      <c r="G106" s="63">
        <v>4.79</v>
      </c>
      <c r="H106" s="63">
        <v>37.5</v>
      </c>
      <c r="I106" s="63"/>
      <c r="J106" s="63"/>
      <c r="K106" s="63">
        <f t="shared" si="8"/>
        <v>50283.250000000007</v>
      </c>
      <c r="L106" s="59" t="s">
        <v>34</v>
      </c>
      <c r="M106" s="15">
        <f t="shared" si="9"/>
        <v>22649.55</v>
      </c>
      <c r="N106" s="54">
        <f>INDEX(Periods13[MonthNo],MATCH(B106,ddMonths,0))</f>
        <v>8</v>
      </c>
    </row>
    <row r="107" spans="1:14" x14ac:dyDescent="0.25">
      <c r="A107" s="11">
        <v>44866</v>
      </c>
      <c r="B107" s="25" t="s">
        <v>45</v>
      </c>
      <c r="C107" s="3" t="s">
        <v>259</v>
      </c>
      <c r="D107" s="3" t="s">
        <v>260</v>
      </c>
      <c r="E107" s="2"/>
      <c r="F107" s="2" t="s">
        <v>130</v>
      </c>
      <c r="G107" s="63"/>
      <c r="H107" s="63">
        <v>53</v>
      </c>
      <c r="I107" s="63"/>
      <c r="J107" s="63"/>
      <c r="K107" s="63">
        <f t="shared" si="8"/>
        <v>50230.250000000007</v>
      </c>
      <c r="L107" s="59" t="s">
        <v>34</v>
      </c>
      <c r="M107" s="15">
        <f t="shared" si="9"/>
        <v>22596.55</v>
      </c>
      <c r="N107" s="54">
        <f>INDEX(Periods13[MonthNo],MATCH(B107,ddMonths,0))</f>
        <v>8</v>
      </c>
    </row>
    <row r="108" spans="1:14" x14ac:dyDescent="0.25">
      <c r="A108" s="11">
        <v>44866</v>
      </c>
      <c r="B108" s="25" t="s">
        <v>45</v>
      </c>
      <c r="C108" s="3" t="s">
        <v>262</v>
      </c>
      <c r="D108" s="3" t="s">
        <v>263</v>
      </c>
      <c r="E108" s="2"/>
      <c r="F108" s="2" t="s">
        <v>115</v>
      </c>
      <c r="G108" s="63">
        <v>528</v>
      </c>
      <c r="H108" s="63">
        <v>3168</v>
      </c>
      <c r="I108" s="63"/>
      <c r="J108" s="63"/>
      <c r="K108" s="63">
        <f t="shared" si="8"/>
        <v>47062.250000000007</v>
      </c>
      <c r="L108" s="59" t="s">
        <v>34</v>
      </c>
      <c r="M108" s="15">
        <f t="shared" si="9"/>
        <v>19428.55</v>
      </c>
      <c r="N108" s="54">
        <f>INDEX(Periods13[MonthNo],MATCH(B108,ddMonths,0))</f>
        <v>8</v>
      </c>
    </row>
    <row r="109" spans="1:14" x14ac:dyDescent="0.25">
      <c r="A109" s="11">
        <v>44896</v>
      </c>
      <c r="B109" s="25" t="s">
        <v>58</v>
      </c>
      <c r="C109" s="3" t="s">
        <v>138</v>
      </c>
      <c r="D109" s="3" t="s">
        <v>264</v>
      </c>
      <c r="E109" s="2"/>
      <c r="F109" s="2" t="s">
        <v>265</v>
      </c>
      <c r="G109" s="63"/>
      <c r="H109" s="63">
        <v>982.77</v>
      </c>
      <c r="I109" s="63"/>
      <c r="J109" s="63"/>
      <c r="K109" s="63">
        <f t="shared" si="8"/>
        <v>46079.48000000001</v>
      </c>
      <c r="L109" s="59" t="s">
        <v>34</v>
      </c>
      <c r="M109" s="15">
        <f t="shared" si="9"/>
        <v>18445.78</v>
      </c>
      <c r="N109" s="54">
        <f>INDEX(Periods13[MonthNo],MATCH(B109,ddMonths,0))</f>
        <v>9</v>
      </c>
    </row>
    <row r="110" spans="1:14" x14ac:dyDescent="0.25">
      <c r="A110" s="11">
        <v>44896</v>
      </c>
      <c r="B110" s="25" t="s">
        <v>58</v>
      </c>
      <c r="C110" s="3" t="s">
        <v>178</v>
      </c>
      <c r="D110" s="3" t="s">
        <v>266</v>
      </c>
      <c r="E110" s="2"/>
      <c r="F110" s="2" t="s">
        <v>172</v>
      </c>
      <c r="G110" s="63"/>
      <c r="H110" s="63">
        <v>278.58999999999997</v>
      </c>
      <c r="I110" s="63"/>
      <c r="J110" s="63"/>
      <c r="K110" s="63">
        <f t="shared" si="8"/>
        <v>45800.890000000014</v>
      </c>
      <c r="L110" s="59" t="s">
        <v>34</v>
      </c>
      <c r="M110" s="15">
        <f t="shared" si="9"/>
        <v>18167.189999999999</v>
      </c>
      <c r="N110" s="54">
        <f>INDEX(Periods13[MonthNo],MATCH(B110,ddMonths,0))</f>
        <v>9</v>
      </c>
    </row>
    <row r="111" spans="1:14" x14ac:dyDescent="0.25">
      <c r="A111" s="11">
        <v>44896</v>
      </c>
      <c r="B111" s="25" t="s">
        <v>58</v>
      </c>
      <c r="C111" s="3" t="s">
        <v>149</v>
      </c>
      <c r="D111" s="3" t="s">
        <v>122</v>
      </c>
      <c r="E111" s="2"/>
      <c r="F111" s="2" t="s">
        <v>122</v>
      </c>
      <c r="G111" s="63"/>
      <c r="H111" s="63">
        <v>85.99</v>
      </c>
      <c r="I111" s="63"/>
      <c r="J111" s="63"/>
      <c r="K111" s="63">
        <f t="shared" si="8"/>
        <v>45714.900000000016</v>
      </c>
      <c r="L111" s="59" t="s">
        <v>34</v>
      </c>
      <c r="M111" s="15">
        <f t="shared" si="9"/>
        <v>18081.199999999997</v>
      </c>
      <c r="N111" s="54">
        <f>INDEX(Periods13[MonthNo],MATCH(B111,ddMonths,0))</f>
        <v>9</v>
      </c>
    </row>
    <row r="112" spans="1:14" x14ac:dyDescent="0.25">
      <c r="A112" s="11">
        <v>44896</v>
      </c>
      <c r="B112" s="25" t="s">
        <v>58</v>
      </c>
      <c r="C112" s="3" t="s">
        <v>194</v>
      </c>
      <c r="D112" s="3" t="s">
        <v>268</v>
      </c>
      <c r="E112" s="2"/>
      <c r="F112" s="2" t="s">
        <v>109</v>
      </c>
      <c r="G112" s="63">
        <v>53.8</v>
      </c>
      <c r="H112" s="63">
        <v>370.28</v>
      </c>
      <c r="I112" s="63"/>
      <c r="J112" s="63"/>
      <c r="K112" s="63">
        <f t="shared" si="8"/>
        <v>45344.620000000017</v>
      </c>
      <c r="L112" s="59" t="s">
        <v>34</v>
      </c>
      <c r="M112" s="15">
        <f t="shared" si="9"/>
        <v>17710.920000000002</v>
      </c>
      <c r="N112" s="54">
        <f>INDEX(Periods13[MonthNo],MATCH(B112,ddMonths,0))</f>
        <v>9</v>
      </c>
    </row>
    <row r="113" spans="1:14" x14ac:dyDescent="0.25">
      <c r="A113" s="11">
        <v>44896</v>
      </c>
      <c r="B113" s="25" t="s">
        <v>58</v>
      </c>
      <c r="C113" s="3" t="s">
        <v>142</v>
      </c>
      <c r="D113" s="3" t="s">
        <v>15</v>
      </c>
      <c r="E113" s="2"/>
      <c r="F113" s="2" t="s">
        <v>15</v>
      </c>
      <c r="G113" s="63">
        <v>3.58</v>
      </c>
      <c r="H113" s="63">
        <v>21.46</v>
      </c>
      <c r="I113" s="63"/>
      <c r="J113" s="63"/>
      <c r="K113" s="63">
        <f t="shared" si="8"/>
        <v>45323.160000000018</v>
      </c>
      <c r="L113" s="59" t="s">
        <v>34</v>
      </c>
      <c r="M113" s="15">
        <f t="shared" si="9"/>
        <v>17689.46</v>
      </c>
      <c r="N113" s="54">
        <f>INDEX(Periods13[MonthNo],MATCH(B113,ddMonths,0))</f>
        <v>9</v>
      </c>
    </row>
    <row r="114" spans="1:14" x14ac:dyDescent="0.25">
      <c r="A114" s="11">
        <v>44896</v>
      </c>
      <c r="B114" s="25" t="s">
        <v>58</v>
      </c>
      <c r="C114" s="3" t="s">
        <v>142</v>
      </c>
      <c r="D114" s="3" t="s">
        <v>15</v>
      </c>
      <c r="E114" s="2"/>
      <c r="F114" s="2" t="s">
        <v>15</v>
      </c>
      <c r="G114" s="63">
        <v>12</v>
      </c>
      <c r="H114" s="63">
        <v>72</v>
      </c>
      <c r="I114" s="63"/>
      <c r="J114" s="63"/>
      <c r="K114" s="63">
        <f t="shared" ref="K114:K126" si="10">IF(ISNUMBER(TRIM(K113)*1),K113-(H114-I114)+J114,(H114-I114)+J114)</f>
        <v>45251.160000000018</v>
      </c>
      <c r="L114" s="59" t="s">
        <v>34</v>
      </c>
      <c r="M114" s="15">
        <f t="shared" ref="M114:M126" si="11">IF(""&amp;L114="Yes",J114-(H114-I114)+IF(ISNUMBER(TRIM(M113)*1),TRIM(M113)*1),IF(ISNUMBER(TRIM(M113)*1),TRIM(M113)*1,0))</f>
        <v>17617.46</v>
      </c>
      <c r="N114" s="54">
        <f>INDEX(Periods13[MonthNo],MATCH(B114,ddMonths,0))</f>
        <v>9</v>
      </c>
    </row>
    <row r="115" spans="1:14" x14ac:dyDescent="0.25">
      <c r="A115" s="11">
        <v>44896</v>
      </c>
      <c r="B115" s="25" t="s">
        <v>58</v>
      </c>
      <c r="C115" s="3" t="s">
        <v>142</v>
      </c>
      <c r="D115" s="3" t="s">
        <v>284</v>
      </c>
      <c r="E115" s="2"/>
      <c r="F115" s="2" t="s">
        <v>111</v>
      </c>
      <c r="G115" s="63">
        <v>11.08</v>
      </c>
      <c r="H115" s="63">
        <v>66.48</v>
      </c>
      <c r="I115" s="63"/>
      <c r="J115" s="63"/>
      <c r="K115" s="63">
        <f t="shared" si="10"/>
        <v>45184.680000000015</v>
      </c>
      <c r="L115" s="59" t="s">
        <v>34</v>
      </c>
      <c r="M115" s="15">
        <f t="shared" si="11"/>
        <v>17550.98</v>
      </c>
      <c r="N115" s="54">
        <f>INDEX(Periods13[MonthNo],MATCH(B115,ddMonths,0))</f>
        <v>9</v>
      </c>
    </row>
    <row r="116" spans="1:14" x14ac:dyDescent="0.25">
      <c r="A116" s="11">
        <v>44896</v>
      </c>
      <c r="B116" s="25" t="s">
        <v>58</v>
      </c>
      <c r="C116" s="3" t="s">
        <v>138</v>
      </c>
      <c r="D116" s="3" t="s">
        <v>267</v>
      </c>
      <c r="E116" s="2"/>
      <c r="F116" s="2" t="s">
        <v>13</v>
      </c>
      <c r="G116" s="63"/>
      <c r="H116" s="63">
        <v>104.24</v>
      </c>
      <c r="I116" s="63"/>
      <c r="J116" s="63"/>
      <c r="K116" s="63">
        <f t="shared" si="10"/>
        <v>45080.440000000017</v>
      </c>
      <c r="L116" s="59" t="s">
        <v>34</v>
      </c>
      <c r="M116" s="15">
        <f t="shared" si="11"/>
        <v>17446.739999999998</v>
      </c>
      <c r="N116" s="54">
        <f>INDEX(Periods13[MonthNo],MATCH(B116,ddMonths,0))</f>
        <v>9</v>
      </c>
    </row>
    <row r="117" spans="1:14" x14ac:dyDescent="0.25">
      <c r="A117" s="11">
        <v>44927</v>
      </c>
      <c r="B117" s="25" t="s">
        <v>46</v>
      </c>
      <c r="C117" s="3" t="s">
        <v>138</v>
      </c>
      <c r="D117" s="3" t="s">
        <v>269</v>
      </c>
      <c r="E117" s="2"/>
      <c r="F117" s="2" t="s">
        <v>11</v>
      </c>
      <c r="G117" s="63"/>
      <c r="H117" s="63">
        <v>982.77</v>
      </c>
      <c r="I117" s="63"/>
      <c r="J117" s="63"/>
      <c r="K117" s="63">
        <f t="shared" si="10"/>
        <v>44097.67000000002</v>
      </c>
      <c r="L117" s="59" t="s">
        <v>34</v>
      </c>
      <c r="M117" s="15">
        <f t="shared" si="11"/>
        <v>16463.97</v>
      </c>
      <c r="N117" s="54">
        <f>INDEX(Periods13[MonthNo],MATCH(B117,ddMonths,0))</f>
        <v>10</v>
      </c>
    </row>
    <row r="118" spans="1:14" x14ac:dyDescent="0.25">
      <c r="A118" s="11">
        <v>44562</v>
      </c>
      <c r="B118" s="25" t="s">
        <v>46</v>
      </c>
      <c r="C118" s="3" t="s">
        <v>138</v>
      </c>
      <c r="D118" s="3" t="s">
        <v>270</v>
      </c>
      <c r="E118" s="2"/>
      <c r="F118" s="2" t="s">
        <v>13</v>
      </c>
      <c r="G118" s="63"/>
      <c r="H118" s="63">
        <v>73.64</v>
      </c>
      <c r="I118" s="63"/>
      <c r="J118" s="63"/>
      <c r="K118" s="63">
        <f t="shared" si="10"/>
        <v>44024.030000000021</v>
      </c>
      <c r="L118" s="59" t="s">
        <v>34</v>
      </c>
      <c r="M118" s="15">
        <f t="shared" si="11"/>
        <v>16390.330000000002</v>
      </c>
      <c r="N118" s="54">
        <f>INDEX(Periods13[MonthNo],MATCH(B118,ddMonths,0))</f>
        <v>10</v>
      </c>
    </row>
    <row r="119" spans="1:14" x14ac:dyDescent="0.25">
      <c r="A119" s="11">
        <v>44927</v>
      </c>
      <c r="B119" s="25" t="s">
        <v>46</v>
      </c>
      <c r="C119" s="3" t="s">
        <v>256</v>
      </c>
      <c r="D119" s="3" t="s">
        <v>126</v>
      </c>
      <c r="E119" s="2"/>
      <c r="F119" s="2" t="s">
        <v>126</v>
      </c>
      <c r="G119" s="63"/>
      <c r="H119" s="63"/>
      <c r="I119" s="63"/>
      <c r="J119" s="63">
        <v>239.29</v>
      </c>
      <c r="K119" s="63">
        <f t="shared" si="10"/>
        <v>44263.320000000022</v>
      </c>
      <c r="L119" s="59" t="s">
        <v>34</v>
      </c>
      <c r="M119" s="15">
        <f t="shared" si="11"/>
        <v>16629.620000000003</v>
      </c>
      <c r="N119" s="54">
        <f>INDEX(Periods13[MonthNo],MATCH(B119,ddMonths,0))</f>
        <v>10</v>
      </c>
    </row>
    <row r="120" spans="1:14" x14ac:dyDescent="0.25">
      <c r="A120" s="11">
        <v>44927</v>
      </c>
      <c r="B120" s="25" t="s">
        <v>46</v>
      </c>
      <c r="C120" s="3" t="s">
        <v>138</v>
      </c>
      <c r="D120" s="3" t="s">
        <v>271</v>
      </c>
      <c r="E120" s="2"/>
      <c r="F120" s="2" t="s">
        <v>11</v>
      </c>
      <c r="G120" s="63"/>
      <c r="H120" s="63">
        <v>215.45</v>
      </c>
      <c r="I120" s="63"/>
      <c r="J120" s="63"/>
      <c r="K120" s="63">
        <f t="shared" si="10"/>
        <v>44047.870000000024</v>
      </c>
      <c r="L120" s="59" t="s">
        <v>34</v>
      </c>
      <c r="M120" s="15">
        <f t="shared" si="11"/>
        <v>16414.169999999998</v>
      </c>
      <c r="N120" s="54">
        <f>INDEX(Periods13[MonthNo],MATCH(B120,ddMonths,0))</f>
        <v>10</v>
      </c>
    </row>
    <row r="121" spans="1:14" x14ac:dyDescent="0.25">
      <c r="A121" s="11">
        <v>44958</v>
      </c>
      <c r="B121" s="25" t="s">
        <v>47</v>
      </c>
      <c r="C121" s="3" t="s">
        <v>138</v>
      </c>
      <c r="D121" s="3" t="s">
        <v>274</v>
      </c>
      <c r="E121" s="2"/>
      <c r="F121" s="2" t="s">
        <v>11</v>
      </c>
      <c r="G121" s="63"/>
      <c r="H121" s="63">
        <v>1014.84</v>
      </c>
      <c r="I121" s="63"/>
      <c r="J121" s="63"/>
      <c r="K121" s="63">
        <f t="shared" si="10"/>
        <v>43033.030000000028</v>
      </c>
      <c r="L121" s="59" t="s">
        <v>34</v>
      </c>
      <c r="M121" s="15">
        <f t="shared" si="11"/>
        <v>15399.329999999998</v>
      </c>
      <c r="N121" s="54">
        <f>INDEX(Periods13[MonthNo],MATCH(B121,ddMonths,0))</f>
        <v>11</v>
      </c>
    </row>
    <row r="122" spans="1:14" x14ac:dyDescent="0.25">
      <c r="A122" s="11">
        <v>44958</v>
      </c>
      <c r="B122" s="25" t="s">
        <v>47</v>
      </c>
      <c r="C122" s="3" t="s">
        <v>178</v>
      </c>
      <c r="D122" s="3" t="s">
        <v>272</v>
      </c>
      <c r="E122" s="2"/>
      <c r="F122" s="2" t="s">
        <v>172</v>
      </c>
      <c r="G122" s="63"/>
      <c r="H122" s="63">
        <v>278.58999999999997</v>
      </c>
      <c r="I122" s="63"/>
      <c r="J122" s="63"/>
      <c r="K122" s="63">
        <f t="shared" si="10"/>
        <v>42754.440000000031</v>
      </c>
      <c r="L122" s="59" t="s">
        <v>34</v>
      </c>
      <c r="M122" s="15">
        <f t="shared" si="11"/>
        <v>15120.74</v>
      </c>
      <c r="N122" s="54">
        <f>INDEX(Periods13[MonthNo],MATCH(B122,ddMonths,0))</f>
        <v>11</v>
      </c>
    </row>
    <row r="123" spans="1:14" x14ac:dyDescent="0.25">
      <c r="A123" s="11">
        <v>44958</v>
      </c>
      <c r="B123" s="25" t="s">
        <v>47</v>
      </c>
      <c r="C123" s="3" t="s">
        <v>149</v>
      </c>
      <c r="D123" s="3" t="s">
        <v>275</v>
      </c>
      <c r="E123" s="2"/>
      <c r="F123" s="2" t="s">
        <v>122</v>
      </c>
      <c r="G123" s="63"/>
      <c r="H123" s="63">
        <v>85.99</v>
      </c>
      <c r="I123" s="63"/>
      <c r="J123" s="63"/>
      <c r="K123" s="63">
        <f t="shared" si="10"/>
        <v>42668.450000000033</v>
      </c>
      <c r="L123" s="59" t="s">
        <v>34</v>
      </c>
      <c r="M123" s="15">
        <f t="shared" si="11"/>
        <v>15034.75</v>
      </c>
      <c r="N123" s="54">
        <f>INDEX(Periods13[MonthNo],MATCH(B123,ddMonths,0))</f>
        <v>11</v>
      </c>
    </row>
    <row r="124" spans="1:14" x14ac:dyDescent="0.25">
      <c r="A124" s="11">
        <v>44958</v>
      </c>
      <c r="B124" s="25" t="s">
        <v>47</v>
      </c>
      <c r="C124" s="3" t="s">
        <v>138</v>
      </c>
      <c r="D124" s="3" t="s">
        <v>13</v>
      </c>
      <c r="E124" s="2"/>
      <c r="F124" s="2" t="s">
        <v>13</v>
      </c>
      <c r="G124" s="63"/>
      <c r="H124" s="63">
        <v>73.64</v>
      </c>
      <c r="I124" s="63"/>
      <c r="J124" s="63"/>
      <c r="K124" s="63">
        <f t="shared" si="10"/>
        <v>42594.810000000034</v>
      </c>
      <c r="L124" s="59" t="s">
        <v>34</v>
      </c>
      <c r="M124" s="15">
        <f t="shared" si="11"/>
        <v>14961.11</v>
      </c>
      <c r="N124" s="54">
        <f>INDEX(Periods13[MonthNo],MATCH(B124,ddMonths,0))</f>
        <v>11</v>
      </c>
    </row>
    <row r="125" spans="1:14" x14ac:dyDescent="0.25">
      <c r="A125" s="11">
        <v>44958</v>
      </c>
      <c r="B125" s="25" t="s">
        <v>47</v>
      </c>
      <c r="C125" s="3" t="s">
        <v>142</v>
      </c>
      <c r="D125" s="3" t="s">
        <v>276</v>
      </c>
      <c r="E125" s="2"/>
      <c r="F125" s="2" t="s">
        <v>111</v>
      </c>
      <c r="G125" s="63">
        <v>0</v>
      </c>
      <c r="H125" s="63">
        <v>0</v>
      </c>
      <c r="I125" s="63"/>
      <c r="J125" s="63"/>
      <c r="K125" s="63">
        <f t="shared" si="10"/>
        <v>42594.810000000034</v>
      </c>
      <c r="L125" s="59" t="s">
        <v>34</v>
      </c>
      <c r="M125" s="15">
        <f t="shared" si="11"/>
        <v>14961.11</v>
      </c>
      <c r="N125" s="54">
        <f>INDEX(Periods13[MonthNo],MATCH(B125,ddMonths,0))</f>
        <v>11</v>
      </c>
    </row>
    <row r="126" spans="1:14" x14ac:dyDescent="0.25">
      <c r="A126" s="11">
        <v>44986</v>
      </c>
      <c r="B126" s="25" t="s">
        <v>48</v>
      </c>
      <c r="C126" s="3" t="s">
        <v>144</v>
      </c>
      <c r="D126" s="3" t="s">
        <v>277</v>
      </c>
      <c r="E126" s="2"/>
      <c r="F126" s="2" t="s">
        <v>109</v>
      </c>
      <c r="G126" s="63"/>
      <c r="H126" s="63">
        <v>9</v>
      </c>
      <c r="I126" s="63"/>
      <c r="J126" s="63"/>
      <c r="K126" s="63">
        <f t="shared" si="10"/>
        <v>42585.810000000034</v>
      </c>
      <c r="L126" s="59" t="s">
        <v>139</v>
      </c>
      <c r="M126" s="15">
        <f t="shared" si="11"/>
        <v>14952.11</v>
      </c>
      <c r="N126" s="54">
        <f>INDEX(Periods13[MonthNo],MATCH(B126,ddMonths,0))</f>
        <v>12</v>
      </c>
    </row>
    <row r="127" spans="1:14" x14ac:dyDescent="0.25">
      <c r="A127" s="11">
        <v>44986</v>
      </c>
      <c r="B127" s="25" t="s">
        <v>48</v>
      </c>
      <c r="C127" s="3" t="s">
        <v>232</v>
      </c>
      <c r="D127" s="3" t="s">
        <v>278</v>
      </c>
      <c r="E127" s="2"/>
      <c r="F127" s="2" t="s">
        <v>115</v>
      </c>
      <c r="G127" s="63">
        <v>307.60000000000002</v>
      </c>
      <c r="H127" s="63">
        <v>1840.6</v>
      </c>
      <c r="I127" s="63"/>
      <c r="J127" s="63"/>
      <c r="K127" s="63">
        <f t="shared" ref="K127:K133" si="12">IF(ISNUMBER(TRIM(K126)*1),K126-(H127-I127)+J127,(H127-I127)+J127)</f>
        <v>40745.210000000036</v>
      </c>
      <c r="L127" s="59" t="s">
        <v>34</v>
      </c>
      <c r="M127" s="15">
        <f t="shared" ref="M127:M133" si="13">IF(""&amp;L127="Yes",J127-(H127-I127)+IF(ISNUMBER(TRIM(M126)*1),TRIM(M126)*1),IF(ISNUMBER(TRIM(M126)*1),TRIM(M126)*1,0))</f>
        <v>13111.51</v>
      </c>
      <c r="N127" s="54">
        <f>INDEX(Periods13[MonthNo],MATCH(B127,ddMonths,0))</f>
        <v>12</v>
      </c>
    </row>
    <row r="128" spans="1:14" x14ac:dyDescent="0.25">
      <c r="A128" s="11">
        <v>44986</v>
      </c>
      <c r="B128" s="25" t="s">
        <v>48</v>
      </c>
      <c r="C128" s="3" t="s">
        <v>138</v>
      </c>
      <c r="D128" s="3" t="s">
        <v>279</v>
      </c>
      <c r="E128" s="2"/>
      <c r="F128" s="2" t="s">
        <v>11</v>
      </c>
      <c r="G128" s="63"/>
      <c r="H128" s="63">
        <v>1014.84</v>
      </c>
      <c r="I128" s="63"/>
      <c r="J128" s="63"/>
      <c r="K128" s="63">
        <f t="shared" si="12"/>
        <v>39730.370000000039</v>
      </c>
      <c r="L128" s="59" t="s">
        <v>34</v>
      </c>
      <c r="M128" s="15">
        <f t="shared" si="13"/>
        <v>12096.67</v>
      </c>
      <c r="N128" s="54">
        <f>INDEX(Periods13[MonthNo],MATCH(B128,ddMonths,0))</f>
        <v>12</v>
      </c>
    </row>
    <row r="129" spans="1:14" x14ac:dyDescent="0.25">
      <c r="A129" s="11">
        <v>44986</v>
      </c>
      <c r="B129" s="25" t="s">
        <v>48</v>
      </c>
      <c r="C129" s="3" t="s">
        <v>149</v>
      </c>
      <c r="D129" s="3" t="s">
        <v>275</v>
      </c>
      <c r="E129" s="2"/>
      <c r="F129" s="2" t="s">
        <v>122</v>
      </c>
      <c r="G129" s="63"/>
      <c r="H129" s="63">
        <v>85.99</v>
      </c>
      <c r="I129" s="63"/>
      <c r="J129" s="63"/>
      <c r="K129" s="63">
        <f t="shared" si="12"/>
        <v>39644.380000000041</v>
      </c>
      <c r="L129" s="59" t="s">
        <v>34</v>
      </c>
      <c r="M129" s="15">
        <f t="shared" si="13"/>
        <v>12010.68</v>
      </c>
      <c r="N129" s="54">
        <f>INDEX(Periods13[MonthNo],MATCH(B129,ddMonths,0))</f>
        <v>12</v>
      </c>
    </row>
    <row r="130" spans="1:14" x14ac:dyDescent="0.25">
      <c r="A130" s="11">
        <v>44986</v>
      </c>
      <c r="B130" s="25" t="s">
        <v>48</v>
      </c>
      <c r="C130" s="3" t="s">
        <v>178</v>
      </c>
      <c r="D130" s="3" t="s">
        <v>280</v>
      </c>
      <c r="E130" s="2"/>
      <c r="F130" s="2" t="s">
        <v>172</v>
      </c>
      <c r="G130" s="63"/>
      <c r="H130" s="63">
        <v>278.58999999999997</v>
      </c>
      <c r="I130" s="63"/>
      <c r="J130" s="63"/>
      <c r="K130" s="63">
        <f t="shared" si="12"/>
        <v>39365.790000000045</v>
      </c>
      <c r="L130" s="59" t="s">
        <v>139</v>
      </c>
      <c r="M130" s="15">
        <f t="shared" si="13"/>
        <v>11732.09</v>
      </c>
      <c r="N130" s="54">
        <f>INDEX(Periods13[MonthNo],MATCH(B130,ddMonths,0))</f>
        <v>12</v>
      </c>
    </row>
    <row r="131" spans="1:14" x14ac:dyDescent="0.25">
      <c r="A131" s="11">
        <v>44986</v>
      </c>
      <c r="B131" s="25" t="s">
        <v>48</v>
      </c>
      <c r="C131" s="3" t="s">
        <v>186</v>
      </c>
      <c r="D131" s="3" t="s">
        <v>281</v>
      </c>
      <c r="E131" s="2"/>
      <c r="F131" s="2" t="s">
        <v>14</v>
      </c>
      <c r="G131" s="63"/>
      <c r="H131" s="63">
        <v>300</v>
      </c>
      <c r="I131" s="63"/>
      <c r="J131" s="63"/>
      <c r="K131" s="63">
        <f t="shared" si="12"/>
        <v>39065.790000000045</v>
      </c>
      <c r="L131" s="59" t="s">
        <v>273</v>
      </c>
      <c r="M131" s="15">
        <f t="shared" si="13"/>
        <v>11732.09</v>
      </c>
      <c r="N131" s="54">
        <f>INDEX(Periods13[MonthNo],MATCH(B131,ddMonths,0))</f>
        <v>12</v>
      </c>
    </row>
    <row r="132" spans="1:14" x14ac:dyDescent="0.25">
      <c r="A132" s="11">
        <v>44986</v>
      </c>
      <c r="B132" s="25" t="s">
        <v>48</v>
      </c>
      <c r="C132" s="3" t="s">
        <v>282</v>
      </c>
      <c r="D132" s="3" t="s">
        <v>281</v>
      </c>
      <c r="E132" s="2"/>
      <c r="F132" s="2" t="s">
        <v>14</v>
      </c>
      <c r="G132" s="63"/>
      <c r="H132" s="63">
        <v>300</v>
      </c>
      <c r="I132" s="63"/>
      <c r="J132" s="63"/>
      <c r="K132" s="63">
        <f t="shared" si="12"/>
        <v>38765.790000000045</v>
      </c>
      <c r="L132" s="59" t="s">
        <v>273</v>
      </c>
      <c r="M132" s="15">
        <f t="shared" si="13"/>
        <v>11732.09</v>
      </c>
      <c r="N132" s="54">
        <f>INDEX(Periods13[MonthNo],MATCH(B132,ddMonths,0))</f>
        <v>12</v>
      </c>
    </row>
    <row r="133" spans="1:14" x14ac:dyDescent="0.25">
      <c r="A133" s="11">
        <v>44986</v>
      </c>
      <c r="B133" s="25" t="s">
        <v>48</v>
      </c>
      <c r="C133" s="3" t="s">
        <v>283</v>
      </c>
      <c r="D133" s="3" t="s">
        <v>281</v>
      </c>
      <c r="E133" s="2"/>
      <c r="F133" s="2" t="s">
        <v>14</v>
      </c>
      <c r="G133" s="63"/>
      <c r="H133" s="63">
        <v>100</v>
      </c>
      <c r="I133" s="63"/>
      <c r="J133" s="63"/>
      <c r="K133" s="63">
        <f t="shared" si="12"/>
        <v>38665.790000000045</v>
      </c>
      <c r="L133" s="59" t="s">
        <v>273</v>
      </c>
      <c r="M133" s="15">
        <f t="shared" si="13"/>
        <v>11732.09</v>
      </c>
      <c r="N133" s="54">
        <f>INDEX(Periods13[MonthNo],MATCH(B133,ddMonths,0))</f>
        <v>12</v>
      </c>
    </row>
    <row r="134" spans="1:14" x14ac:dyDescent="0.25">
      <c r="A134" s="11">
        <v>44986</v>
      </c>
      <c r="B134" s="25" t="s">
        <v>48</v>
      </c>
      <c r="C134" s="3" t="s">
        <v>142</v>
      </c>
      <c r="D134" s="3" t="s">
        <v>281</v>
      </c>
      <c r="E134" s="2"/>
      <c r="F134" s="2" t="s">
        <v>14</v>
      </c>
      <c r="G134" s="63"/>
      <c r="H134" s="63">
        <v>41</v>
      </c>
      <c r="I134" s="63"/>
      <c r="J134" s="63"/>
      <c r="K134" s="63">
        <f>IF(ISNUMBER(TRIM(K133)*1),K133-(H134-I134)+J134,(H134-I134)+J134)</f>
        <v>38624.790000000045</v>
      </c>
      <c r="L134" s="59" t="s">
        <v>273</v>
      </c>
      <c r="M134" s="15">
        <f>IF(""&amp;L134="Yes",J134-(H134-I134)+IF(ISNUMBER(TRIM(M133)*1),TRIM(M133)*1),IF(ISNUMBER(TRIM(M133)*1),TRIM(M133)*1,0))</f>
        <v>11732.09</v>
      </c>
      <c r="N134" s="54">
        <f>INDEX(Periods13[MonthNo],MATCH(B134,ddMonths,0))</f>
        <v>12</v>
      </c>
    </row>
    <row r="135" spans="1:14" x14ac:dyDescent="0.25">
      <c r="A135" s="11">
        <v>44986</v>
      </c>
      <c r="B135" s="25" t="s">
        <v>48</v>
      </c>
      <c r="C135" s="3" t="s">
        <v>138</v>
      </c>
      <c r="D135" s="3" t="s">
        <v>285</v>
      </c>
      <c r="E135" s="2"/>
      <c r="F135" s="2" t="s">
        <v>13</v>
      </c>
      <c r="G135" s="63"/>
      <c r="H135" s="63">
        <v>104.24</v>
      </c>
      <c r="I135" s="63"/>
      <c r="J135" s="63"/>
      <c r="K135" s="63">
        <f>IF(ISNUMBER(TRIM(K134)*1),K134-(H135-I135)+J135,(H135-I135)+J135)</f>
        <v>38520.550000000047</v>
      </c>
      <c r="L135" s="59" t="s">
        <v>273</v>
      </c>
      <c r="M135" s="15">
        <f>IF(""&amp;L135="Yes",J135-(H135-I135)+IF(ISNUMBER(TRIM(M134)*1),TRIM(M134)*1),IF(ISNUMBER(TRIM(M134)*1),TRIM(M134)*1,0))</f>
        <v>11732.09</v>
      </c>
      <c r="N135" s="54">
        <f>INDEX(Periods13[MonthNo],MATCH(B135,ddMonths,0))</f>
        <v>12</v>
      </c>
    </row>
    <row r="136" spans="1:14" x14ac:dyDescent="0.25">
      <c r="A136" s="11">
        <v>44986</v>
      </c>
      <c r="B136" s="25" t="s">
        <v>48</v>
      </c>
      <c r="C136" s="3" t="s">
        <v>155</v>
      </c>
      <c r="D136" s="3" t="s">
        <v>168</v>
      </c>
      <c r="E136" s="2"/>
      <c r="F136" s="2" t="s">
        <v>16</v>
      </c>
      <c r="G136" s="63"/>
      <c r="H136" s="63">
        <v>584.41999999999996</v>
      </c>
      <c r="I136" s="63"/>
      <c r="J136" s="63"/>
      <c r="K136" s="63">
        <f>IF(ISNUMBER(TRIM(K135)*1),K135-(H136-I136)+J136,(H136-I136)+J136)</f>
        <v>37936.130000000048</v>
      </c>
      <c r="L136" s="59" t="s">
        <v>273</v>
      </c>
      <c r="M136" s="15">
        <f>IF(""&amp;L136="Yes",J136-(H136-I136)+IF(ISNUMBER(TRIM(M135)*1),TRIM(M135)*1),IF(ISNUMBER(TRIM(M135)*1),TRIM(M135)*1,0))</f>
        <v>11732.09</v>
      </c>
      <c r="N136" s="54">
        <f>INDEX(Periods13[MonthNo],MATCH(B136,ddMonths,0))</f>
        <v>12</v>
      </c>
    </row>
    <row r="137" spans="1:14" x14ac:dyDescent="0.25">
      <c r="A137" s="11">
        <v>44986</v>
      </c>
      <c r="B137" s="25" t="s">
        <v>48</v>
      </c>
      <c r="C137" s="3" t="s">
        <v>142</v>
      </c>
      <c r="D137" s="3" t="s">
        <v>287</v>
      </c>
      <c r="E137" s="2"/>
      <c r="F137" s="2" t="s">
        <v>14</v>
      </c>
      <c r="G137" s="63"/>
      <c r="H137" s="63">
        <v>9</v>
      </c>
      <c r="I137" s="63"/>
      <c r="J137" s="63"/>
      <c r="K137" s="63">
        <f>IF(ISNUMBER(TRIM(K136)*1),K136-(H137-I137)+J137,(H137-I137)+J137)</f>
        <v>37927.130000000048</v>
      </c>
      <c r="L137" s="59" t="s">
        <v>273</v>
      </c>
      <c r="M137" s="15">
        <f>IF(""&amp;L137="Yes",J137-(H137-I137)+IF(ISNUMBER(TRIM(M136)*1),TRIM(M136)*1),IF(ISNUMBER(TRIM(M136)*1),TRIM(M136)*1,0))</f>
        <v>11732.09</v>
      </c>
      <c r="N137" s="54">
        <f>INDEX(Periods13[MonthNo],MATCH(B137,ddMonths,0))</f>
        <v>12</v>
      </c>
    </row>
    <row r="138" spans="1:14" x14ac:dyDescent="0.25">
      <c r="A138" s="1"/>
      <c r="C138" s="3"/>
      <c r="D138" s="3"/>
      <c r="E138" s="2"/>
      <c r="F138" s="2"/>
      <c r="G138" s="8">
        <f>SUBTOTAL(109,Table24[VAT Included])</f>
        <v>3430.1299999999997</v>
      </c>
      <c r="H138" s="8">
        <f>SUBTOTAL(109,Table24[Expense Amount])</f>
        <v>43691.319999999963</v>
      </c>
      <c r="I138" s="8"/>
      <c r="J138" s="8">
        <f>SUBTOTAL(109,Table24[Receipt Amount])</f>
        <v>54050.69</v>
      </c>
      <c r="K138" s="8"/>
      <c r="M138" s="8"/>
    </row>
  </sheetData>
  <dataValidations count="2">
    <dataValidation type="list" allowBlank="1" showInputMessage="1" showErrorMessage="1" sqref="B3:B137" xr:uid="{FA2FE01A-E0A7-410D-A83B-DCD32CFFA296}">
      <formula1>ddMonths</formula1>
    </dataValidation>
    <dataValidation type="list" allowBlank="1" showInputMessage="1" showErrorMessage="1" sqref="F3:F137" xr:uid="{FFE2E32C-D0D9-4EE9-8B5C-F38518C8C0C7}">
      <formula1>INDIRECT("CategoryTable[Name]")</formula1>
    </dataValidation>
  </dataValidations>
  <pageMargins left="0.70866141732283472" right="0.70866141732283472" top="0.74803149606299213" bottom="0.74803149606299213" header="0.31496062992125984" footer="0.31496062992125984"/>
  <pageSetup paperSize="9" scale="70" fitToHeight="0" orientation="landscape" r:id="rId1"/>
  <headerFooter>
    <oddHeader>&amp;L&amp;"-,Bold"Year to 31st March 2023&amp;C&amp;"-,Bold"&amp;UBlandford St Mary Parish Council  &amp;U
&amp;U
&amp;U
&amp;R&amp;"-,Bold"Transactions for the period shown</oddHead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10E75D-03A9-4B10-B7DA-0724C50DF5DB}">
  <dimension ref="C2:G27"/>
  <sheetViews>
    <sheetView view="pageLayout" topLeftCell="A2" zoomScaleNormal="100" workbookViewId="0">
      <selection activeCell="C16" sqref="C16"/>
    </sheetView>
  </sheetViews>
  <sheetFormatPr defaultRowHeight="15" x14ac:dyDescent="0.25"/>
  <cols>
    <col min="1" max="1" width="2.7109375" customWidth="1"/>
    <col min="2" max="2" width="2.85546875" customWidth="1"/>
    <col min="3" max="3" width="24.5703125" bestFit="1" customWidth="1"/>
    <col min="4" max="4" width="12.42578125" bestFit="1" customWidth="1"/>
    <col min="5" max="5" width="16.85546875" bestFit="1" customWidth="1"/>
    <col min="6" max="6" width="1.85546875" customWidth="1"/>
    <col min="7" max="7" width="17.5703125" customWidth="1"/>
    <col min="8" max="8" width="5.85546875" bestFit="1" customWidth="1"/>
    <col min="9" max="10" width="2.85546875" bestFit="1" customWidth="1"/>
    <col min="11" max="15" width="5.85546875" bestFit="1" customWidth="1"/>
    <col min="16" max="17" width="2.85546875" bestFit="1" customWidth="1"/>
    <col min="18" max="18" width="5.85546875" bestFit="1" customWidth="1"/>
    <col min="19" max="19" width="2.85546875" bestFit="1" customWidth="1"/>
    <col min="20" max="20" width="5.85546875" bestFit="1" customWidth="1"/>
    <col min="21" max="22" width="4.85546875" bestFit="1" customWidth="1"/>
    <col min="23" max="23" width="2.85546875" bestFit="1" customWidth="1"/>
    <col min="24" max="24" width="5.85546875" bestFit="1" customWidth="1"/>
    <col min="25" max="26" width="2.85546875" bestFit="1" customWidth="1"/>
    <col min="27" max="27" width="4.85546875" bestFit="1" customWidth="1"/>
    <col min="28" max="29" width="3.85546875" bestFit="1" customWidth="1"/>
    <col min="30" max="32" width="6.85546875" bestFit="1" customWidth="1"/>
    <col min="33" max="33" width="5.85546875" bestFit="1" customWidth="1"/>
    <col min="34" max="34" width="6.85546875" bestFit="1" customWidth="1"/>
    <col min="35" max="38" width="3.85546875" bestFit="1" customWidth="1"/>
    <col min="39" max="39" width="6.85546875" bestFit="1" customWidth="1"/>
    <col min="40" max="40" width="5.85546875" bestFit="1" customWidth="1"/>
    <col min="41" max="41" width="6.7109375" bestFit="1" customWidth="1"/>
    <col min="42" max="42" width="10.7109375" bestFit="1" customWidth="1"/>
  </cols>
  <sheetData>
    <row r="2" spans="3:7" ht="18" thickBot="1" x14ac:dyDescent="0.35">
      <c r="C2" s="10" t="s">
        <v>35</v>
      </c>
      <c r="D2" s="10"/>
      <c r="E2" s="10"/>
      <c r="G2" s="49" t="s">
        <v>286</v>
      </c>
    </row>
    <row r="3" spans="3:7" ht="15.75" thickTop="1" x14ac:dyDescent="0.25"/>
    <row r="4" spans="3:7" x14ac:dyDescent="0.25">
      <c r="C4" t="s">
        <v>36</v>
      </c>
      <c r="G4" s="16">
        <v>39365.79</v>
      </c>
    </row>
    <row r="5" spans="3:7" x14ac:dyDescent="0.25">
      <c r="G5" s="16"/>
    </row>
    <row r="6" spans="3:7" x14ac:dyDescent="0.25">
      <c r="C6" t="s">
        <v>37</v>
      </c>
      <c r="G6" s="16">
        <f>SUMIFS(Table24[Expense Amount],Table24[Cleared the Bank],"No")</f>
        <v>1438.6599999999999</v>
      </c>
    </row>
    <row r="7" spans="3:7" x14ac:dyDescent="0.25">
      <c r="G7" s="16"/>
    </row>
    <row r="8" spans="3:7" x14ac:dyDescent="0.25">
      <c r="C8" t="s">
        <v>38</v>
      </c>
      <c r="G8" s="16">
        <f>SUMIFS(Table24[Receipt Amount],Table24[Cleared the Bank],"No")</f>
        <v>0</v>
      </c>
    </row>
    <row r="9" spans="3:7" x14ac:dyDescent="0.25">
      <c r="G9" s="16"/>
    </row>
    <row r="10" spans="3:7" ht="15.75" thickBot="1" x14ac:dyDescent="0.3">
      <c r="C10" t="s">
        <v>94</v>
      </c>
      <c r="G10" s="57">
        <v>37927.129999999997</v>
      </c>
    </row>
    <row r="11" spans="3:7" ht="15.75" thickTop="1" x14ac:dyDescent="0.25"/>
    <row r="12" spans="3:7" x14ac:dyDescent="0.25">
      <c r="C12" s="51" t="str">
        <f>IF((G4-G6+G8)&lt;&gt;G10,"Bank Reconciliation differs by:-","")</f>
        <v/>
      </c>
      <c r="G12" s="51" t="str">
        <f>IF((G4-G6+G8)&lt;&gt;G10,(G4-G6+G8)-G10,"")</f>
        <v/>
      </c>
    </row>
    <row r="14" spans="3:7" x14ac:dyDescent="0.25">
      <c r="C14" s="17" t="s">
        <v>32</v>
      </c>
      <c r="D14" t="s">
        <v>273</v>
      </c>
    </row>
    <row r="15" spans="3:7" x14ac:dyDescent="0.25">
      <c r="G15" s="16"/>
    </row>
    <row r="16" spans="3:7" x14ac:dyDescent="0.25">
      <c r="C16" s="17" t="s">
        <v>261</v>
      </c>
      <c r="D16" t="s">
        <v>84</v>
      </c>
      <c r="E16" t="s">
        <v>86</v>
      </c>
    </row>
    <row r="17" spans="3:5" x14ac:dyDescent="0.25">
      <c r="C17" s="19" t="s">
        <v>155</v>
      </c>
      <c r="D17" s="16">
        <v>584.41999999999996</v>
      </c>
      <c r="E17" s="16"/>
    </row>
    <row r="18" spans="3:5" x14ac:dyDescent="0.25">
      <c r="C18" s="19" t="s">
        <v>138</v>
      </c>
      <c r="D18" s="16">
        <v>104.24</v>
      </c>
      <c r="E18" s="16"/>
    </row>
    <row r="19" spans="3:5" x14ac:dyDescent="0.25">
      <c r="C19" s="19" t="s">
        <v>142</v>
      </c>
      <c r="D19" s="16">
        <v>50</v>
      </c>
      <c r="E19" s="16"/>
    </row>
    <row r="20" spans="3:5" x14ac:dyDescent="0.25">
      <c r="C20" s="87" t="s">
        <v>281</v>
      </c>
      <c r="D20" s="16">
        <v>50</v>
      </c>
      <c r="E20" s="16"/>
    </row>
    <row r="21" spans="3:5" x14ac:dyDescent="0.25">
      <c r="C21" s="19" t="s">
        <v>186</v>
      </c>
      <c r="D21" s="16">
        <v>300</v>
      </c>
      <c r="E21" s="16"/>
    </row>
    <row r="22" spans="3:5" x14ac:dyDescent="0.25">
      <c r="C22" s="87" t="s">
        <v>281</v>
      </c>
      <c r="D22" s="16">
        <v>300</v>
      </c>
      <c r="E22" s="16"/>
    </row>
    <row r="23" spans="3:5" x14ac:dyDescent="0.25">
      <c r="C23" s="19" t="s">
        <v>282</v>
      </c>
      <c r="D23" s="16">
        <v>300</v>
      </c>
      <c r="E23" s="16"/>
    </row>
    <row r="24" spans="3:5" x14ac:dyDescent="0.25">
      <c r="C24" s="87" t="s">
        <v>281</v>
      </c>
      <c r="D24" s="16">
        <v>300</v>
      </c>
      <c r="E24" s="16"/>
    </row>
    <row r="25" spans="3:5" x14ac:dyDescent="0.25">
      <c r="C25" s="19" t="s">
        <v>283</v>
      </c>
      <c r="D25" s="16">
        <v>100</v>
      </c>
      <c r="E25" s="16"/>
    </row>
    <row r="26" spans="3:5" x14ac:dyDescent="0.25">
      <c r="C26" s="87" t="s">
        <v>281</v>
      </c>
      <c r="D26" s="16">
        <v>100</v>
      </c>
      <c r="E26" s="16"/>
    </row>
    <row r="27" spans="3:5" x14ac:dyDescent="0.25">
      <c r="C27" s="19" t="s">
        <v>39</v>
      </c>
      <c r="D27" s="16">
        <v>1438.6599999999999</v>
      </c>
      <c r="E27" s="16"/>
    </row>
  </sheetData>
  <pageMargins left="0.70866141732283472" right="0.70866141732283472" top="0.74803149606299213" bottom="0.74803149606299213" header="0.31496062992125984" footer="0.31496062992125984"/>
  <pageSetup paperSize="9" orientation="portrait" r:id="rId2"/>
  <headerFooter>
    <oddHeader>&amp;C&amp;"-,Bold"&amp;12&amp;EBlandford St Mary Parish Council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6A70A-0CF5-452D-B64B-262DBC8A289C}">
  <sheetPr>
    <pageSetUpPr fitToPage="1"/>
  </sheetPr>
  <dimension ref="A1:K49"/>
  <sheetViews>
    <sheetView view="pageLayout" zoomScaleNormal="100" workbookViewId="0">
      <selection activeCell="D33" sqref="D33"/>
    </sheetView>
  </sheetViews>
  <sheetFormatPr defaultRowHeight="15" x14ac:dyDescent="0.25"/>
  <cols>
    <col min="1" max="1" width="17" customWidth="1"/>
    <col min="2" max="2" width="21.42578125" customWidth="1"/>
    <col min="3" max="3" width="16.28515625" style="20" customWidth="1"/>
    <col min="4" max="4" width="16.85546875" style="20" customWidth="1"/>
    <col min="5" max="5" width="17.42578125" style="20" customWidth="1"/>
    <col min="6" max="6" width="25" style="20" customWidth="1"/>
    <col min="7" max="7" width="13.7109375" style="20" customWidth="1"/>
    <col min="8" max="8" width="16.28515625" style="20" customWidth="1"/>
    <col min="9" max="9" width="9.140625" bestFit="1" customWidth="1"/>
    <col min="11" max="11" width="9.5703125" customWidth="1"/>
  </cols>
  <sheetData>
    <row r="1" spans="1:11" ht="29.1" customHeight="1" thickBot="1" x14ac:dyDescent="0.3">
      <c r="B1" s="100" t="s">
        <v>85</v>
      </c>
      <c r="C1" s="100"/>
      <c r="D1" s="100"/>
      <c r="E1" s="100"/>
      <c r="F1" s="52">
        <f>EndOfPeriod</f>
        <v>45016</v>
      </c>
      <c r="G1" s="53"/>
      <c r="H1" s="53"/>
    </row>
    <row r="2" spans="1:11" ht="69" customHeight="1" thickTop="1" thickBot="1" x14ac:dyDescent="0.3">
      <c r="A2" s="55" t="s">
        <v>128</v>
      </c>
      <c r="B2" s="55" t="s">
        <v>4</v>
      </c>
      <c r="C2" s="56" t="s">
        <v>161</v>
      </c>
      <c r="D2" s="56" t="str">
        <f>"Expenditure to " &amp; TEXT(EndOfPeriod,"dd mmm yyyy")</f>
        <v>Expenditure to 31 Mar 2023</v>
      </c>
      <c r="E2" s="56" t="str">
        <f>"Budget Proportion to " &amp; TEXT(EndOfPeriod,"dd mmm yyyy")</f>
        <v>Budget Proportion to 31 Mar 2023</v>
      </c>
      <c r="F2" s="56" t="str">
        <f>"Adverse/ Favourable to "  &amp; TEXT(EndOfPeriod,"dd mmm yyyy")</f>
        <v>Adverse/ Favourable to 31 Mar 2023</v>
      </c>
      <c r="G2" s="56" t="str">
        <f>"Remaining Budget - Year to " &amp; TEXT(YearEnd,"mmmm yyyy")</f>
        <v>Remaining Budget - Year to March 2023</v>
      </c>
      <c r="H2" s="56" t="s">
        <v>159</v>
      </c>
      <c r="K2" s="29"/>
    </row>
    <row r="3" spans="1:11" ht="15.75" thickTop="1" x14ac:dyDescent="0.25">
      <c r="A3" t="s">
        <v>129</v>
      </c>
      <c r="B3" t="s">
        <v>11</v>
      </c>
      <c r="C3" s="20">
        <v>11793.24</v>
      </c>
      <c r="D3" s="16">
        <f>IFERROR(SUMIFS(Table24[Expense Amount],Table24[PeriodNumber],"&lt;=" &amp; Parameters!$J$5,Table24[Category],$B3),"")</f>
        <v>12371.620000000003</v>
      </c>
      <c r="E3" s="20">
        <f>(C3/12)*Parameters!$J$5</f>
        <v>11793.24</v>
      </c>
      <c r="F3" s="20">
        <f>IFERROR(E3-D3,"")</f>
        <v>-578.38000000000284</v>
      </c>
      <c r="G3" s="20">
        <f>IFERROR(C3-D3,"")</f>
        <v>-578.38000000000284</v>
      </c>
      <c r="H3" s="79">
        <v>14992</v>
      </c>
    </row>
    <row r="4" spans="1:11" x14ac:dyDescent="0.25">
      <c r="B4" t="s">
        <v>13</v>
      </c>
      <c r="C4" s="20">
        <v>1104</v>
      </c>
      <c r="D4" s="16">
        <f>IFERROR(SUMIFS(Table24[Expense Amount],Table24[PeriodNumber],"&lt;=" &amp; Parameters!$J$5,Table24[Category],$B4),"")</f>
        <v>1057.83</v>
      </c>
      <c r="E4" s="20">
        <f>(C4/12)*Parameters!$J$5</f>
        <v>1104</v>
      </c>
      <c r="F4" s="20">
        <f t="shared" ref="F4:F17" si="0">E4-D4</f>
        <v>46.170000000000073</v>
      </c>
      <c r="G4" s="20">
        <f t="shared" ref="G4:G17" si="1">C4-D4</f>
        <v>46.170000000000073</v>
      </c>
      <c r="H4" s="79">
        <v>1000</v>
      </c>
    </row>
    <row r="5" spans="1:11" x14ac:dyDescent="0.25">
      <c r="B5" t="s">
        <v>122</v>
      </c>
      <c r="C5" s="20">
        <v>744</v>
      </c>
      <c r="D5" s="16">
        <f>IFERROR(SUMIFS(Table24[Expense Amount],Table24[PeriodNumber],"&lt;=" &amp; Parameters!$J$5,Table24[Category],$B5),"")</f>
        <v>794.04000000000008</v>
      </c>
      <c r="E5" s="20">
        <f>(C5/12)*Parameters!$J$5</f>
        <v>744</v>
      </c>
      <c r="F5" s="20">
        <f t="shared" si="0"/>
        <v>-50.040000000000077</v>
      </c>
      <c r="G5" s="20">
        <f t="shared" si="1"/>
        <v>-50.040000000000077</v>
      </c>
      <c r="H5" s="79">
        <v>700</v>
      </c>
    </row>
    <row r="6" spans="1:11" x14ac:dyDescent="0.25">
      <c r="B6" t="s">
        <v>17</v>
      </c>
      <c r="C6" s="20">
        <v>500</v>
      </c>
      <c r="D6" s="16">
        <f>IFERROR(SUMIFS(Table24[Expense Amount],Table24[PeriodNumber],"&lt;=" &amp; Parameters!$J$5,Table24[Category],$B6),"")</f>
        <v>35</v>
      </c>
      <c r="E6" s="20">
        <f>(C6/12)*Parameters!$J$5</f>
        <v>500</v>
      </c>
      <c r="F6" s="20">
        <f t="shared" si="0"/>
        <v>465</v>
      </c>
      <c r="G6" s="20">
        <f t="shared" si="1"/>
        <v>465</v>
      </c>
      <c r="H6" s="79">
        <v>100</v>
      </c>
    </row>
    <row r="7" spans="1:11" x14ac:dyDescent="0.25">
      <c r="B7" t="s">
        <v>130</v>
      </c>
      <c r="C7" s="20">
        <v>427</v>
      </c>
      <c r="D7" s="16">
        <f>IFERROR(SUMIFS(Table24[Expense Amount],Table24[PeriodNumber],"&lt;=" &amp; Parameters!$J$5,Table24[Category],$B7),"")</f>
        <v>53</v>
      </c>
      <c r="E7" s="20">
        <f>(C7/12)*Parameters!$J$5</f>
        <v>427</v>
      </c>
      <c r="F7" s="20">
        <f t="shared" si="0"/>
        <v>374</v>
      </c>
      <c r="G7" s="20">
        <f t="shared" si="1"/>
        <v>374</v>
      </c>
      <c r="H7" s="79">
        <v>100</v>
      </c>
    </row>
    <row r="8" spans="1:11" x14ac:dyDescent="0.25">
      <c r="A8" t="s">
        <v>131</v>
      </c>
      <c r="B8" t="s">
        <v>21</v>
      </c>
      <c r="C8" s="20">
        <v>769</v>
      </c>
      <c r="D8" s="16">
        <f>IFERROR(SUMIFS(Table24[Expense Amount],Table24[PeriodNumber],"&lt;=" &amp; Parameters!$J$5,Table24[Category],$B8),"")</f>
        <v>0</v>
      </c>
      <c r="E8" s="20">
        <f>(C8/12)*Parameters!$J$5</f>
        <v>769</v>
      </c>
      <c r="F8" s="20">
        <f>E8-D8</f>
        <v>769</v>
      </c>
      <c r="G8" s="20">
        <f>C8-D8</f>
        <v>769</v>
      </c>
      <c r="H8" s="79">
        <v>720</v>
      </c>
    </row>
    <row r="9" spans="1:11" x14ac:dyDescent="0.25">
      <c r="B9" t="s">
        <v>22</v>
      </c>
      <c r="C9" s="20">
        <v>0</v>
      </c>
      <c r="D9" s="16">
        <f>IFERROR(SUMIFS(Table24[Expense Amount],Table24[PeriodNumber],"&lt;=" &amp; Parameters!$J$5,Table24[Category],$B9),"")</f>
        <v>0</v>
      </c>
      <c r="E9" s="20">
        <f>(C9/12)*Parameters!$J$5</f>
        <v>0</v>
      </c>
      <c r="F9" s="20">
        <f>E9-D9</f>
        <v>0</v>
      </c>
      <c r="G9" s="20">
        <f>C9-D9</f>
        <v>0</v>
      </c>
      <c r="H9" s="79" t="s">
        <v>160</v>
      </c>
    </row>
    <row r="10" spans="1:11" x14ac:dyDescent="0.25">
      <c r="B10" t="s">
        <v>20</v>
      </c>
      <c r="C10" s="20">
        <v>250</v>
      </c>
      <c r="D10" s="16">
        <f>IFERROR(SUMIFS(Table24[Expense Amount],Table24[PeriodNumber],"&lt;=" &amp; Parameters!$J$5,Table24[Category],$B10),"")</f>
        <v>419.81</v>
      </c>
      <c r="E10" s="20">
        <f>(C10/12)*Parameters!$J$5</f>
        <v>250</v>
      </c>
      <c r="F10" s="20">
        <f>E10-D10</f>
        <v>-169.81</v>
      </c>
      <c r="G10" s="20">
        <f>C10-D10</f>
        <v>-169.81</v>
      </c>
      <c r="H10" s="79">
        <v>250</v>
      </c>
    </row>
    <row r="11" spans="1:11" x14ac:dyDescent="0.25">
      <c r="B11" t="s">
        <v>12</v>
      </c>
      <c r="C11" s="20">
        <v>6500</v>
      </c>
      <c r="D11" s="16">
        <f>IFERROR(SUMIFS(Table24[Expense Amount],Table24[PeriodNumber],"&lt;=" &amp; Parameters!$J$5,Table24[Category],$B11),"")</f>
        <v>6426</v>
      </c>
      <c r="E11" s="20">
        <f>(C11/12)*Parameters!$J$5</f>
        <v>6500</v>
      </c>
      <c r="F11" s="20">
        <f t="shared" si="0"/>
        <v>74</v>
      </c>
      <c r="G11" s="20">
        <f t="shared" si="1"/>
        <v>74</v>
      </c>
      <c r="H11" s="79">
        <v>6500</v>
      </c>
    </row>
    <row r="12" spans="1:11" x14ac:dyDescent="0.25">
      <c r="B12" t="s">
        <v>16</v>
      </c>
      <c r="C12" s="20">
        <v>679</v>
      </c>
      <c r="D12" s="16">
        <f>IFERROR(SUMIFS(Table24[Expense Amount],Table24[PeriodNumber],"&lt;=" &amp; Parameters!$J$5,Table24[Category],$B12),"")</f>
        <v>1177.07</v>
      </c>
      <c r="E12" s="20">
        <f>(C12/12)*Parameters!$J$5</f>
        <v>679</v>
      </c>
      <c r="F12" s="20">
        <f t="shared" si="0"/>
        <v>-498.06999999999994</v>
      </c>
      <c r="G12" s="20">
        <f t="shared" si="1"/>
        <v>-498.06999999999994</v>
      </c>
      <c r="H12" s="79">
        <v>600</v>
      </c>
    </row>
    <row r="13" spans="1:11" x14ac:dyDescent="0.25">
      <c r="B13" t="s">
        <v>117</v>
      </c>
      <c r="C13" s="20">
        <v>300</v>
      </c>
      <c r="D13" s="16">
        <f>IFERROR(SUMIFS(Table24[Expense Amount],Table24[PeriodNumber],"&lt;=" &amp; Parameters!$J$5,Table24[Category],$B13),"")</f>
        <v>560.01</v>
      </c>
      <c r="E13" s="20">
        <f>(C13/12)*Parameters!$J$5</f>
        <v>300</v>
      </c>
      <c r="F13" s="20">
        <f t="shared" si="0"/>
        <v>-260.01</v>
      </c>
      <c r="G13" s="20">
        <f t="shared" si="1"/>
        <v>-260.01</v>
      </c>
      <c r="H13" s="79">
        <v>300</v>
      </c>
    </row>
    <row r="14" spans="1:11" x14ac:dyDescent="0.25">
      <c r="B14" t="s">
        <v>112</v>
      </c>
      <c r="C14" s="20">
        <v>1000</v>
      </c>
      <c r="D14" s="16">
        <f>IFERROR(SUMIFS(Table24[Expense Amount],Table24[PeriodNumber],"&lt;=" &amp; Parameters!$J$5,Table24[Category],$B14),"")</f>
        <v>415.08</v>
      </c>
      <c r="E14" s="20">
        <f>(C14/12)*Parameters!$J$5</f>
        <v>1000</v>
      </c>
      <c r="F14" s="20">
        <f t="shared" si="0"/>
        <v>584.92000000000007</v>
      </c>
      <c r="G14" s="20">
        <f t="shared" si="1"/>
        <v>584.92000000000007</v>
      </c>
      <c r="H14" s="79">
        <v>1000</v>
      </c>
    </row>
    <row r="15" spans="1:11" x14ac:dyDescent="0.25">
      <c r="B15" t="s">
        <v>111</v>
      </c>
      <c r="C15" s="20">
        <v>800</v>
      </c>
      <c r="D15" s="16">
        <f>IFERROR(SUMIFS(Table24[Expense Amount],Table24[PeriodNumber],"&lt;=" &amp; Parameters!$J$5,Table24[Category],$B15),"")</f>
        <v>930.72000000000014</v>
      </c>
      <c r="E15" s="20">
        <f>(C15/12)*Parameters!$J$5</f>
        <v>800</v>
      </c>
      <c r="F15" s="20">
        <f t="shared" si="0"/>
        <v>-130.72000000000014</v>
      </c>
      <c r="G15" s="20">
        <f t="shared" si="1"/>
        <v>-130.72000000000014</v>
      </c>
      <c r="H15" s="79">
        <v>800</v>
      </c>
    </row>
    <row r="16" spans="1:11" x14ac:dyDescent="0.25">
      <c r="B16" t="s">
        <v>18</v>
      </c>
      <c r="C16" s="20">
        <v>650</v>
      </c>
      <c r="D16" s="16">
        <f>IFERROR(SUMIFS(Table24[Expense Amount],Table24[PeriodNumber],"&lt;=" &amp; Parameters!$J$5,Table24[Category],$B16),"")</f>
        <v>648</v>
      </c>
      <c r="E16" s="20">
        <f>(C16/12)*Parameters!$J$5</f>
        <v>650</v>
      </c>
      <c r="F16" s="20">
        <f t="shared" si="0"/>
        <v>2</v>
      </c>
      <c r="G16" s="20">
        <f t="shared" si="1"/>
        <v>2</v>
      </c>
      <c r="H16" s="79">
        <v>650</v>
      </c>
    </row>
    <row r="17" spans="1:8" x14ac:dyDescent="0.25">
      <c r="B17" t="s">
        <v>118</v>
      </c>
      <c r="C17" s="20">
        <v>1700</v>
      </c>
      <c r="D17" s="16">
        <f>IFERROR(SUMIFS(Table24[Expense Amount],Table24[PeriodNumber],"&lt;=" &amp; Parameters!$J$5,Table24[Category],$B17),"")</f>
        <v>1697.28</v>
      </c>
      <c r="E17" s="16">
        <f>(C17/12)*Parameters!$J$5</f>
        <v>1700</v>
      </c>
      <c r="F17" s="20">
        <f t="shared" si="0"/>
        <v>2.7200000000000273</v>
      </c>
      <c r="G17" s="20">
        <f t="shared" si="1"/>
        <v>2.7200000000000273</v>
      </c>
      <c r="H17" s="79">
        <v>1700</v>
      </c>
    </row>
    <row r="18" spans="1:8" x14ac:dyDescent="0.25">
      <c r="B18" t="s">
        <v>116</v>
      </c>
      <c r="C18" s="20">
        <v>33000</v>
      </c>
      <c r="D18" s="16">
        <f>IFERROR(SUMIFS(Table24[Expense Amount],Table24[PeriodNumber],"&lt;=" &amp; Parameters!$J$5,Table24[Category],$B18),"")</f>
        <v>0</v>
      </c>
      <c r="E18" s="16">
        <f>(C18/12)*Parameters!$J$5</f>
        <v>33000</v>
      </c>
      <c r="F18" s="20">
        <f t="shared" ref="F18:F27" si="2">E18-D18</f>
        <v>33000</v>
      </c>
      <c r="G18" s="20">
        <f t="shared" ref="G18:G27" si="3">C18-D18</f>
        <v>33000</v>
      </c>
      <c r="H18" s="79">
        <v>2000</v>
      </c>
    </row>
    <row r="19" spans="1:8" x14ac:dyDescent="0.25">
      <c r="B19" t="s">
        <v>120</v>
      </c>
      <c r="C19" s="20">
        <v>1900</v>
      </c>
      <c r="D19" s="16">
        <f>IFERROR(SUMIFS(Table24[Expense Amount],Table24[PeriodNumber],"&lt;=" &amp; Parameters!$J$5,Table24[Category],$B19),"")</f>
        <v>0</v>
      </c>
      <c r="E19" s="16">
        <f>(C19/12)*Parameters!$J$5</f>
        <v>1900</v>
      </c>
      <c r="F19" s="20">
        <f t="shared" si="2"/>
        <v>1900</v>
      </c>
      <c r="G19" s="20">
        <f t="shared" si="3"/>
        <v>1900</v>
      </c>
      <c r="H19" s="79" t="s">
        <v>160</v>
      </c>
    </row>
    <row r="20" spans="1:8" x14ac:dyDescent="0.25">
      <c r="B20" t="s">
        <v>109</v>
      </c>
      <c r="C20" s="20">
        <v>793</v>
      </c>
      <c r="D20" s="16">
        <f>IFERROR(SUMIFS(Table24[Expense Amount],Table24[PeriodNumber],"&lt;=" &amp; Parameters!$J$5,Table24[Category],$B20),"")</f>
        <v>419.28</v>
      </c>
      <c r="E20" s="16">
        <f>(C20/12)*Parameters!$J$5</f>
        <v>793</v>
      </c>
      <c r="F20" s="20">
        <f>E20-D20</f>
        <v>373.72</v>
      </c>
      <c r="G20" s="20">
        <f>C20-D20</f>
        <v>373.72</v>
      </c>
      <c r="H20" s="79">
        <v>200</v>
      </c>
    </row>
    <row r="21" spans="1:8" x14ac:dyDescent="0.25">
      <c r="B21" t="s">
        <v>23</v>
      </c>
      <c r="C21" s="20">
        <v>492</v>
      </c>
      <c r="D21" s="16">
        <f>IFERROR(SUMIFS(Table24[Expense Amount],Table24[PeriodNumber],"&lt;=" &amp; Parameters!$J$5,Table24[Category],$B21),"")</f>
        <v>484.13</v>
      </c>
      <c r="E21" s="16">
        <f>(C21/12)*Parameters!$J$5</f>
        <v>492</v>
      </c>
      <c r="F21" s="20">
        <f>E21-D21</f>
        <v>7.8700000000000045</v>
      </c>
      <c r="G21" s="20">
        <f>C21-D21</f>
        <v>7.8700000000000045</v>
      </c>
      <c r="H21" s="79">
        <v>400</v>
      </c>
    </row>
    <row r="22" spans="1:8" x14ac:dyDescent="0.25">
      <c r="B22" t="s">
        <v>172</v>
      </c>
      <c r="C22" s="20">
        <v>4048.76</v>
      </c>
      <c r="D22" s="16">
        <f>IFERROR(SUMIFS(Table24[Expense Amount],Table24[PeriodNumber],"&lt;=" &amp; Parameters!$J$5,Table24[Category],$B22),"")</f>
        <v>3396.3700000000008</v>
      </c>
      <c r="E22" s="16">
        <f>(C22/12)*Parameters!$J$5</f>
        <v>4048.76</v>
      </c>
      <c r="F22" s="20">
        <f>E22-D22</f>
        <v>652.38999999999942</v>
      </c>
      <c r="G22" s="20">
        <f>C22-D22</f>
        <v>652.38999999999942</v>
      </c>
      <c r="H22" s="79">
        <v>500</v>
      </c>
    </row>
    <row r="23" spans="1:8" x14ac:dyDescent="0.25">
      <c r="B23" t="s">
        <v>110</v>
      </c>
      <c r="C23" s="20">
        <v>1212</v>
      </c>
      <c r="D23" s="16">
        <f>IFERROR(SUMIFS(Table24[Expense Amount],Table24[PeriodNumber],"&lt;=" &amp; Parameters!$J$5,Table24[Category],$B23),"")</f>
        <v>943.5</v>
      </c>
      <c r="E23" s="20">
        <f>(C23/12)*Parameters!$J$5</f>
        <v>1212</v>
      </c>
      <c r="F23" s="20">
        <f t="shared" si="2"/>
        <v>268.5</v>
      </c>
      <c r="G23" s="20">
        <f t="shared" si="3"/>
        <v>268.5</v>
      </c>
      <c r="H23" s="79">
        <v>100</v>
      </c>
    </row>
    <row r="24" spans="1:8" x14ac:dyDescent="0.25">
      <c r="A24" t="s">
        <v>132</v>
      </c>
      <c r="B24" t="s">
        <v>107</v>
      </c>
      <c r="C24" s="20">
        <v>60</v>
      </c>
      <c r="D24" s="16">
        <f>IFERROR(SUMIFS(Table24[Expense Amount],Table24[PeriodNumber],"&lt;=" &amp; Parameters!$J$5,Table24[Category],$B24),"")</f>
        <v>0</v>
      </c>
      <c r="E24" s="16">
        <f>(C24/12)*Parameters!$J$5</f>
        <v>60</v>
      </c>
      <c r="F24" s="20">
        <f t="shared" si="2"/>
        <v>60</v>
      </c>
      <c r="G24" s="20">
        <f t="shared" si="3"/>
        <v>60</v>
      </c>
      <c r="H24" s="79">
        <v>60</v>
      </c>
    </row>
    <row r="25" spans="1:8" x14ac:dyDescent="0.25">
      <c r="B25" t="s">
        <v>14</v>
      </c>
      <c r="C25" s="20">
        <v>2000</v>
      </c>
      <c r="D25" s="16">
        <f>IFERROR(SUMIFS(Table24[Expense Amount],Table24[PeriodNumber],"&lt;=" &amp; Parameters!$J$5,Table24[Category],$B25),"")</f>
        <v>952</v>
      </c>
      <c r="E25" s="16">
        <f>(C25/12)*Parameters!$J$5</f>
        <v>2000</v>
      </c>
      <c r="F25" s="20">
        <f t="shared" si="2"/>
        <v>1048</v>
      </c>
      <c r="G25" s="20">
        <f t="shared" si="3"/>
        <v>1048</v>
      </c>
      <c r="H25" s="79">
        <v>2000</v>
      </c>
    </row>
    <row r="26" spans="1:8" x14ac:dyDescent="0.25">
      <c r="A26" t="s">
        <v>133</v>
      </c>
      <c r="B26" t="s">
        <v>115</v>
      </c>
      <c r="C26" s="20">
        <v>26788</v>
      </c>
      <c r="D26" s="16">
        <f>IFERROR(SUMIFS(Table24[Expense Amount],Table24[PeriodNumber],"&lt;=" &amp; Parameters!$J$5,Table24[Category],$B26),"")</f>
        <v>9999.26</v>
      </c>
      <c r="E26" s="20">
        <f>(C26/12)*Parameters!$J$5</f>
        <v>26788</v>
      </c>
      <c r="F26" s="20">
        <f t="shared" si="2"/>
        <v>16788.739999999998</v>
      </c>
      <c r="G26" s="20">
        <f t="shared" si="3"/>
        <v>16788.739999999998</v>
      </c>
      <c r="H26" s="79" t="s">
        <v>160</v>
      </c>
    </row>
    <row r="27" spans="1:8" x14ac:dyDescent="0.25">
      <c r="B27" t="s">
        <v>15</v>
      </c>
      <c r="C27" s="20">
        <v>400</v>
      </c>
      <c r="D27" s="16">
        <f>IFERROR(SUMIFS(Table24[Expense Amount],Table24[PeriodNumber],"&lt;=" &amp; Parameters!$J$5,Table24[Category],$B27),"")</f>
        <v>381.32</v>
      </c>
      <c r="E27" s="16">
        <f>(C27/12)*Parameters!$J$5</f>
        <v>400</v>
      </c>
      <c r="F27" s="20">
        <f t="shared" si="2"/>
        <v>18.680000000000007</v>
      </c>
      <c r="G27" s="20">
        <f t="shared" si="3"/>
        <v>18.680000000000007</v>
      </c>
      <c r="H27" s="79" t="s">
        <v>160</v>
      </c>
    </row>
    <row r="28" spans="1:8" x14ac:dyDescent="0.25">
      <c r="B28" t="s">
        <v>108</v>
      </c>
      <c r="C28" s="20">
        <v>2500</v>
      </c>
      <c r="D28" s="16">
        <f>IFERROR(SUMIFS(Table24[Expense Amount],Table24[PeriodNumber],"&lt;=" &amp; Parameters!$J$5,Table24[Category],$B28),"")</f>
        <v>0</v>
      </c>
      <c r="E28" s="16">
        <f>(C28/12)*Parameters!$J$5</f>
        <v>2500</v>
      </c>
      <c r="F28" s="20">
        <f>E28-D28</f>
        <v>2500</v>
      </c>
      <c r="G28" s="20">
        <f>C28-D28</f>
        <v>2500</v>
      </c>
      <c r="H28" s="80">
        <v>250</v>
      </c>
    </row>
    <row r="29" spans="1:8" x14ac:dyDescent="0.25">
      <c r="A29" t="s">
        <v>134</v>
      </c>
      <c r="B29" t="s">
        <v>106</v>
      </c>
      <c r="C29" s="20">
        <v>300</v>
      </c>
      <c r="D29" s="16">
        <f>IFERROR(SUMIFS(Table24[Expense Amount],Table24[PeriodNumber],"&lt;=" &amp; Parameters!$J$5,Table24[Category],$B29),"")</f>
        <v>500</v>
      </c>
      <c r="E29" s="16">
        <f>(C29/12)*Parameters!$J$5</f>
        <v>300</v>
      </c>
      <c r="F29" s="20">
        <f>E29-D29</f>
        <v>-200</v>
      </c>
      <c r="G29" s="20">
        <f>C29-D29</f>
        <v>-200</v>
      </c>
      <c r="H29" s="80" t="s">
        <v>160</v>
      </c>
    </row>
    <row r="30" spans="1:8" x14ac:dyDescent="0.25">
      <c r="B30" t="s">
        <v>136</v>
      </c>
      <c r="C30" s="20">
        <v>0</v>
      </c>
      <c r="D30" s="16">
        <f>IFERROR(SUMIFS(Table24[Expense Amount],Table24[PeriodNumber],"&lt;=" &amp; Parameters!$J$5,Table24[Category],$B30),"")</f>
        <v>30</v>
      </c>
      <c r="E30" s="16">
        <f>(C30/12)*Parameters!$J$5</f>
        <v>0</v>
      </c>
      <c r="F30" s="20">
        <f>E30-D30</f>
        <v>-30</v>
      </c>
      <c r="G30" s="20">
        <f>C30-D30</f>
        <v>-30</v>
      </c>
      <c r="H30" s="81"/>
    </row>
    <row r="31" spans="1:8" x14ac:dyDescent="0.25">
      <c r="A31" t="s">
        <v>242</v>
      </c>
      <c r="B31" t="s">
        <v>19</v>
      </c>
      <c r="C31" s="20">
        <v>4000</v>
      </c>
      <c r="D31" s="16">
        <f>IFERROR(SUMIFS(Table24[Expense Amount],Table24[PeriodNumber],"&lt;=" &amp; Parameters!$J$5,Table24[Category],$B31),"")</f>
        <v>0</v>
      </c>
      <c r="E31" s="20">
        <f>(C31/12)*Parameters!$J$5</f>
        <v>4000</v>
      </c>
      <c r="F31" s="20">
        <f>E31-D31</f>
        <v>4000</v>
      </c>
      <c r="G31" s="20">
        <f>C31-D31</f>
        <v>4000</v>
      </c>
      <c r="H31" s="82"/>
    </row>
    <row r="32" spans="1:8" ht="30.75" customHeight="1" thickBot="1" x14ac:dyDescent="0.3">
      <c r="B32" s="22" t="s">
        <v>50</v>
      </c>
      <c r="C32" s="62">
        <f>SUM(C3:C31)</f>
        <v>104710</v>
      </c>
      <c r="D32" s="62">
        <f>SUM(D3:D31)</f>
        <v>43691.320000000007</v>
      </c>
      <c r="E32" s="62">
        <f>SUM(E3:E31)</f>
        <v>104710</v>
      </c>
      <c r="F32" s="62">
        <f>SUM(F3:F31)</f>
        <v>61018.68</v>
      </c>
      <c r="G32" s="62">
        <f>SUM(G3:G31)</f>
        <v>61018.68</v>
      </c>
      <c r="H32" s="83">
        <v>34922</v>
      </c>
    </row>
    <row r="33" spans="2:8" ht="16.5" thickTop="1" thickBot="1" x14ac:dyDescent="0.3">
      <c r="B33" s="22"/>
      <c r="C33" s="65"/>
      <c r="D33" s="65"/>
      <c r="E33" s="65"/>
      <c r="F33" s="65"/>
      <c r="G33" s="16"/>
      <c r="H33" s="77"/>
    </row>
    <row r="34" spans="2:8" ht="36" thickTop="1" thickBot="1" x14ac:dyDescent="0.3">
      <c r="B34" s="21" t="s">
        <v>51</v>
      </c>
      <c r="C34" s="66" t="s">
        <v>105</v>
      </c>
      <c r="D34" s="66" t="s">
        <v>104</v>
      </c>
      <c r="E34" s="66" t="s">
        <v>123</v>
      </c>
      <c r="F34" s="66" t="s">
        <v>124</v>
      </c>
      <c r="G34" s="16"/>
      <c r="H34" s="77"/>
    </row>
    <row r="35" spans="2:8" ht="15.75" thickTop="1" x14ac:dyDescent="0.25">
      <c r="B35" t="s">
        <v>10</v>
      </c>
      <c r="C35" s="16">
        <v>24316</v>
      </c>
      <c r="D35" s="16">
        <f>SUMIFS(Table24[Receipt Amount],Table24[PeriodNumber],"&lt;=" &amp; Parameters!$J$5,Table24[Category],$B35)</f>
        <v>25550</v>
      </c>
      <c r="E35" s="16"/>
      <c r="F35" s="16"/>
      <c r="G35" s="16"/>
      <c r="H35" s="77"/>
    </row>
    <row r="36" spans="2:8" x14ac:dyDescent="0.25">
      <c r="B36" t="s">
        <v>53</v>
      </c>
      <c r="C36" s="16">
        <v>0</v>
      </c>
      <c r="D36" s="16">
        <f>SUMIFS(Table24[Receipt Amount],Table24[PeriodNumber],"&lt;=" &amp; Parameters!$J$5,Table24[Category],$B36)</f>
        <v>4320.8599999999997</v>
      </c>
      <c r="E36" s="16"/>
      <c r="F36" s="67"/>
      <c r="G36" s="16"/>
      <c r="H36" s="77"/>
    </row>
    <row r="37" spans="2:8" x14ac:dyDescent="0.25">
      <c r="B37" t="s">
        <v>78</v>
      </c>
      <c r="C37" s="16">
        <v>0</v>
      </c>
      <c r="D37" s="16">
        <f>SUMIFS(Table24[Receipt Amount],Table24[PeriodNumber],"&lt;=" &amp; Parameters!$J$5,Table24[Category],$B37)</f>
        <v>527.85</v>
      </c>
      <c r="E37" s="16"/>
      <c r="F37" s="16"/>
      <c r="G37" s="16"/>
      <c r="H37" s="77"/>
    </row>
    <row r="38" spans="2:8" x14ac:dyDescent="0.25">
      <c r="B38" t="s">
        <v>119</v>
      </c>
      <c r="C38" s="16">
        <v>0</v>
      </c>
      <c r="D38" s="16">
        <f>SUMIFS(Table24[Receipt Amount],Table24[PeriodNumber],"&lt;=" &amp; Parameters!$J$5,Table24[Category],$B38)</f>
        <v>0</v>
      </c>
      <c r="E38" s="16"/>
      <c r="F38" s="16"/>
      <c r="G38" s="16"/>
      <c r="H38" s="77"/>
    </row>
    <row r="39" spans="2:8" x14ac:dyDescent="0.25">
      <c r="B39" t="s">
        <v>126</v>
      </c>
      <c r="C39" s="16"/>
      <c r="D39" s="16">
        <f>SUMIFS(Table24[Receipt Amount],Table24[PeriodNumber],"&lt;=" &amp; Parameters!$J$5,Table24[Category],$B39)</f>
        <v>929.54</v>
      </c>
      <c r="E39" s="16"/>
      <c r="F39" s="16"/>
      <c r="G39" s="16"/>
      <c r="H39" s="78"/>
    </row>
    <row r="40" spans="2:8" x14ac:dyDescent="0.25">
      <c r="B40" t="s">
        <v>114</v>
      </c>
      <c r="C40" s="16"/>
      <c r="D40" s="16">
        <f>SUMIFS(Table24[Receipt Amount],Table24[PeriodNumber],"&lt;=" &amp; Parameters!$J$5,Table24[Category],$B40)</f>
        <v>22667.439999999999</v>
      </c>
      <c r="E40" s="16"/>
      <c r="F40" s="16"/>
      <c r="G40" s="16"/>
      <c r="H40" s="78"/>
    </row>
    <row r="41" spans="2:8" x14ac:dyDescent="0.25">
      <c r="B41" t="s">
        <v>135</v>
      </c>
      <c r="C41" s="16"/>
      <c r="D41" s="16">
        <f>SUMIFS(Table24[Receipt Amount],Table24[PeriodNumber],"&lt;=" &amp; Parameters!$J$5,Table24[Category],$B41)</f>
        <v>55</v>
      </c>
      <c r="E41" s="16"/>
      <c r="F41" s="16"/>
      <c r="G41" s="16"/>
    </row>
    <row r="42" spans="2:8" x14ac:dyDescent="0.25">
      <c r="B42" t="s">
        <v>95</v>
      </c>
      <c r="C42" s="16">
        <v>0</v>
      </c>
      <c r="D42" s="16">
        <f>SUMIFS(Table24[Receipt Amount],Table24[PeriodNumber],"&lt;=" &amp; Parameters!$J$5,Table24[Category],$B42)</f>
        <v>0</v>
      </c>
      <c r="E42" s="16"/>
      <c r="F42" s="16"/>
      <c r="G42" s="16"/>
    </row>
    <row r="43" spans="2:8" ht="15.75" thickBot="1" x14ac:dyDescent="0.3">
      <c r="B43" s="22" t="s">
        <v>51</v>
      </c>
      <c r="C43" s="62">
        <f>SUM(C35:C42)</f>
        <v>24316</v>
      </c>
      <c r="D43" s="62">
        <f>SUM(D35:D42)</f>
        <v>54050.69</v>
      </c>
      <c r="E43" s="62">
        <v>12590.26</v>
      </c>
      <c r="F43" s="62">
        <v>21677.86</v>
      </c>
      <c r="G43" s="16"/>
    </row>
    <row r="44" spans="2:8" ht="15.75" thickTop="1" x14ac:dyDescent="0.25">
      <c r="C44" s="16"/>
      <c r="D44" s="16"/>
      <c r="E44" s="16"/>
      <c r="F44" s="16"/>
      <c r="G44" s="16"/>
    </row>
    <row r="46" spans="2:8" x14ac:dyDescent="0.25">
      <c r="C46" s="18"/>
    </row>
    <row r="48" spans="2:8" x14ac:dyDescent="0.25">
      <c r="F48" s="18"/>
    </row>
    <row r="49" spans="6:6" x14ac:dyDescent="0.25">
      <c r="F49" s="18"/>
    </row>
  </sheetData>
  <sortState xmlns:xlrd2="http://schemas.microsoft.com/office/spreadsheetml/2017/richdata2" ref="J3:J17">
    <sortCondition ref="J3:J17"/>
  </sortState>
  <mergeCells count="1">
    <mergeCell ref="B1:E1"/>
  </mergeCells>
  <conditionalFormatting sqref="F3:F33 G32:H32">
    <cfRule type="cellIs" dxfId="9" priority="5" operator="lessThan">
      <formula>0</formula>
    </cfRule>
  </conditionalFormatting>
  <conditionalFormatting sqref="F35:F41">
    <cfRule type="cellIs" dxfId="8" priority="3" operator="greaterThan">
      <formula>0</formula>
    </cfRule>
  </conditionalFormatting>
  <conditionalFormatting sqref="F42">
    <cfRule type="cellIs" dxfId="7" priority="2" operator="lessThan">
      <formula>0</formula>
    </cfRule>
  </conditionalFormatting>
  <conditionalFormatting sqref="G3:G31">
    <cfRule type="cellIs" dxfId="6" priority="4" operator="lessThan">
      <formula>0</formula>
    </cfRule>
  </conditionalFormatting>
  <dataValidations count="3">
    <dataValidation type="list" allowBlank="1" showInputMessage="1" showErrorMessage="1" sqref="C50:C54" xr:uid="{E8E81738-933E-4AEF-8404-2818F5528EBF}">
      <formula1>ddMonths</formula1>
    </dataValidation>
    <dataValidation type="list" allowBlank="1" showInputMessage="1" showErrorMessage="1" sqref="B3" xr:uid="{F56280AF-56F1-4FAA-9C30-51604D9D0640}">
      <formula1>INDIRECT("CategoryTable[Name]")</formula1>
    </dataValidation>
    <dataValidation type="list" allowBlank="1" showInputMessage="1" promptTitle="Categories" prompt="Select a category from the drop-down list." sqref="B4:B50" xr:uid="{09AF0A42-75FD-4367-85E2-5A46DAEB9AE4}">
      <formula1>INDIRECT("CategoryTable[Name]")</formula1>
    </dataValidation>
  </dataValidations>
  <printOptions gridLines="1"/>
  <pageMargins left="0.70866141732283472" right="0.70866141732283472" top="0.74803149606299213" bottom="0.74803149606299213" header="0.31496062992125984" footer="0.31496062992125984"/>
  <pageSetup paperSize="9" scale="66" orientation="landscape" r:id="rId1"/>
  <headerFooter differentOddEven="1">
    <oddHeader xml:space="preserve">&amp;L&amp;"-,Bold"Management Account&amp;C&amp;"-,Bold"&amp;UBlandford St Mary Parish Council&amp;R&amp;"-,Bold"Year to 31st March 2020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B88250-B1C5-422D-84AB-C6A13ADF4E13}">
  <dimension ref="A1:J17"/>
  <sheetViews>
    <sheetView workbookViewId="0">
      <selection activeCell="J5" sqref="J5"/>
    </sheetView>
  </sheetViews>
  <sheetFormatPr defaultRowHeight="15" x14ac:dyDescent="0.25"/>
  <cols>
    <col min="1" max="1" width="10.42578125" bestFit="1" customWidth="1"/>
  </cols>
  <sheetData>
    <row r="1" spans="1:10" x14ac:dyDescent="0.25">
      <c r="A1" t="s">
        <v>87</v>
      </c>
      <c r="J1" t="e">
        <f ca="1">INDIRECT("CategoryTable[Name]")</f>
        <v>#VALUE!</v>
      </c>
    </row>
    <row r="2" spans="1:10" x14ac:dyDescent="0.25">
      <c r="J2" t="e">
        <f t="shared" ref="J2:J11" ca="1" si="0">INDIRECT("CategoryTable[Name]")</f>
        <v>#VALUE!</v>
      </c>
    </row>
    <row r="3" spans="1:10" x14ac:dyDescent="0.25">
      <c r="A3" t="s">
        <v>88</v>
      </c>
      <c r="D3" t="s">
        <v>89</v>
      </c>
      <c r="J3" t="str">
        <f t="shared" ca="1" si="0"/>
        <v>Allotment</v>
      </c>
    </row>
    <row r="4" spans="1:10" x14ac:dyDescent="0.25">
      <c r="D4" t="s">
        <v>90</v>
      </c>
      <c r="J4" t="str">
        <f t="shared" ca="1" si="0"/>
        <v>Allotment</v>
      </c>
    </row>
    <row r="5" spans="1:10" x14ac:dyDescent="0.25">
      <c r="D5" t="s">
        <v>91</v>
      </c>
      <c r="J5" t="str">
        <f t="shared" ca="1" si="0"/>
        <v>Allotment ass in</v>
      </c>
    </row>
    <row r="6" spans="1:10" x14ac:dyDescent="0.25">
      <c r="D6" t="s">
        <v>92</v>
      </c>
      <c r="J6" t="str">
        <f t="shared" ca="1" si="0"/>
        <v>Allotment ass out</v>
      </c>
    </row>
    <row r="7" spans="1:10" x14ac:dyDescent="0.25">
      <c r="D7" t="s">
        <v>93</v>
      </c>
      <c r="J7" t="str">
        <f t="shared" ca="1" si="0"/>
        <v>Audit &amp; Governance</v>
      </c>
    </row>
    <row r="8" spans="1:10" x14ac:dyDescent="0.25">
      <c r="J8" t="str">
        <f t="shared" ca="1" si="0"/>
        <v>Balance B/Fwd.</v>
      </c>
    </row>
    <row r="9" spans="1:10" x14ac:dyDescent="0.25">
      <c r="A9" s="18">
        <v>43646</v>
      </c>
      <c r="B9" t="s">
        <v>96</v>
      </c>
      <c r="H9" t="str">
        <f ca="1">INDIRECT("CategoryTable[Name]")</f>
        <v>British Legion</v>
      </c>
      <c r="J9" t="str">
        <f t="shared" ca="1" si="0"/>
        <v>British Legion</v>
      </c>
    </row>
    <row r="10" spans="1:10" x14ac:dyDescent="0.25">
      <c r="H10" t="str">
        <f ca="1">INDIRECT("CategoryTable[Name]")</f>
        <v>Clerk's Expenses</v>
      </c>
      <c r="J10" t="str">
        <f t="shared" ca="1" si="0"/>
        <v>Clerk's Expenses</v>
      </c>
    </row>
    <row r="11" spans="1:10" x14ac:dyDescent="0.25">
      <c r="D11" t="s">
        <v>97</v>
      </c>
      <c r="J11" t="str">
        <f t="shared" ca="1" si="0"/>
        <v>Clerk's Wages</v>
      </c>
    </row>
    <row r="12" spans="1:10" x14ac:dyDescent="0.25">
      <c r="D12" t="s">
        <v>98</v>
      </c>
    </row>
    <row r="13" spans="1:10" x14ac:dyDescent="0.25">
      <c r="D13" t="s">
        <v>99</v>
      </c>
    </row>
    <row r="14" spans="1:10" x14ac:dyDescent="0.25">
      <c r="D14" t="s">
        <v>102</v>
      </c>
    </row>
    <row r="15" spans="1:10" x14ac:dyDescent="0.25">
      <c r="D15" t="s">
        <v>100</v>
      </c>
    </row>
    <row r="16" spans="1:10" x14ac:dyDescent="0.25">
      <c r="D16" t="s">
        <v>101</v>
      </c>
    </row>
    <row r="17" spans="4:4" x14ac:dyDescent="0.25">
      <c r="D17" t="s">
        <v>103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62B19C-AD02-4F25-BC83-B55944C27692}">
  <dimension ref="B2:J9"/>
  <sheetViews>
    <sheetView view="pageLayout" zoomScaleNormal="100" workbookViewId="0">
      <selection activeCell="E5" sqref="E5"/>
    </sheetView>
  </sheetViews>
  <sheetFormatPr defaultRowHeight="15" x14ac:dyDescent="0.25"/>
  <cols>
    <col min="4" max="4" width="11.140625" customWidth="1"/>
    <col min="5" max="5" width="12.140625" customWidth="1"/>
    <col min="6" max="6" width="13.140625" customWidth="1"/>
    <col min="9" max="9" width="10.42578125" bestFit="1" customWidth="1"/>
    <col min="10" max="10" width="11.28515625" customWidth="1"/>
  </cols>
  <sheetData>
    <row r="2" spans="2:10" ht="17.25" x14ac:dyDescent="0.3">
      <c r="B2" s="35" t="s">
        <v>76</v>
      </c>
      <c r="C2" s="36"/>
      <c r="D2" s="37">
        <v>44652</v>
      </c>
      <c r="E2" s="38" t="s">
        <v>75</v>
      </c>
      <c r="F2" s="39">
        <v>45016</v>
      </c>
    </row>
    <row r="3" spans="2:10" ht="18" thickBot="1" x14ac:dyDescent="0.35">
      <c r="I3" s="30" t="s">
        <v>81</v>
      </c>
      <c r="J3" s="30" t="s">
        <v>83</v>
      </c>
    </row>
    <row r="4" spans="2:10" ht="18.75" thickTop="1" thickBot="1" x14ac:dyDescent="0.35">
      <c r="B4" s="40" t="s">
        <v>73</v>
      </c>
      <c r="C4" s="41"/>
      <c r="D4" s="42" t="s">
        <v>74</v>
      </c>
      <c r="E4" s="41" t="s">
        <v>40</v>
      </c>
      <c r="F4" s="43" t="str">
        <f>"Period "&amp; MATCH(E4,ddMonths,0)</f>
        <v>Period 1</v>
      </c>
      <c r="I4" s="31" t="s">
        <v>82</v>
      </c>
      <c r="J4" s="33">
        <f>INDEX(Periods13[MonthNo],MATCH(E4,ddMonths,0))</f>
        <v>1</v>
      </c>
    </row>
    <row r="5" spans="2:10" ht="15.75" thickTop="1" x14ac:dyDescent="0.25">
      <c r="B5" s="44"/>
      <c r="C5" s="45"/>
      <c r="D5" s="46" t="s">
        <v>75</v>
      </c>
      <c r="E5" s="47" t="s">
        <v>48</v>
      </c>
      <c r="F5" s="48" t="str">
        <f>"Period "&amp; MATCH(E5,ddMonths,0)</f>
        <v>Period 12</v>
      </c>
      <c r="I5" s="32">
        <f>EOMONTH(D2,J5-1)</f>
        <v>45016</v>
      </c>
      <c r="J5" s="34">
        <f>INDEX(Periods13[MonthNo],MATCH(E5,ddMonths,0))</f>
        <v>12</v>
      </c>
    </row>
    <row r="8" spans="2:10" ht="18" thickBot="1" x14ac:dyDescent="0.35">
      <c r="B8" s="40" t="s">
        <v>36</v>
      </c>
      <c r="F8" s="50"/>
    </row>
    <row r="9" spans="2:10" ht="15.75" thickTop="1" x14ac:dyDescent="0.25"/>
  </sheetData>
  <dataValidations count="1">
    <dataValidation type="list" allowBlank="1" showInputMessage="1" showErrorMessage="1" sqref="E4:E5" xr:uid="{2635ECB9-5D62-472A-80CC-05D52D9E5B6C}">
      <formula1>ddMonths</formula1>
    </dataValidation>
  </dataValidations>
  <pageMargins left="0.7" right="0.7" top="0.75" bottom="0.75" header="0.3" footer="0.3"/>
  <pageSetup paperSize="9" orientation="landscape" horizontalDpi="360" verticalDpi="360" r:id="rId1"/>
  <headerFooter>
    <oddHeader>&amp;CBlandford St Mary Parish Council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DD8841-8A7A-411C-A019-0E75B8322968}">
  <dimension ref="A1:F56"/>
  <sheetViews>
    <sheetView view="pageLayout" zoomScaleNormal="100" workbookViewId="0">
      <selection activeCell="A18" sqref="A18"/>
    </sheetView>
  </sheetViews>
  <sheetFormatPr defaultRowHeight="15" x14ac:dyDescent="0.25"/>
  <cols>
    <col min="1" max="1" width="20.85546875" bestFit="1" customWidth="1"/>
    <col min="2" max="2" width="8.85546875" customWidth="1"/>
    <col min="4" max="4" width="10.85546875" customWidth="1"/>
    <col min="5" max="5" width="12.42578125" customWidth="1"/>
    <col min="6" max="6" width="17.42578125" customWidth="1"/>
  </cols>
  <sheetData>
    <row r="1" spans="1:6" ht="18" thickBot="1" x14ac:dyDescent="0.35">
      <c r="A1" s="10" t="s">
        <v>24</v>
      </c>
      <c r="D1" s="10" t="s">
        <v>52</v>
      </c>
    </row>
    <row r="2" spans="1:6" ht="15.75" thickTop="1" x14ac:dyDescent="0.25">
      <c r="A2" t="s">
        <v>25</v>
      </c>
      <c r="B2" t="s">
        <v>26</v>
      </c>
      <c r="D2" s="27" t="s">
        <v>54</v>
      </c>
      <c r="E2" s="27" t="s">
        <v>55</v>
      </c>
      <c r="F2" s="27" t="s">
        <v>70</v>
      </c>
    </row>
    <row r="3" spans="1:6" x14ac:dyDescent="0.25">
      <c r="A3" t="s">
        <v>106</v>
      </c>
      <c r="B3" t="s">
        <v>28</v>
      </c>
      <c r="D3" s="23">
        <v>1</v>
      </c>
      <c r="E3" s="23" t="s">
        <v>40</v>
      </c>
      <c r="F3" s="23" t="s">
        <v>59</v>
      </c>
    </row>
    <row r="4" spans="1:6" x14ac:dyDescent="0.25">
      <c r="A4" t="s">
        <v>106</v>
      </c>
      <c r="B4" t="s">
        <v>29</v>
      </c>
      <c r="D4" s="24">
        <v>2</v>
      </c>
      <c r="E4" s="24" t="s">
        <v>41</v>
      </c>
      <c r="F4" s="24" t="s">
        <v>41</v>
      </c>
    </row>
    <row r="5" spans="1:6" x14ac:dyDescent="0.25">
      <c r="A5" t="s">
        <v>135</v>
      </c>
      <c r="B5" t="s">
        <v>29</v>
      </c>
      <c r="D5" s="23">
        <v>3</v>
      </c>
      <c r="E5" s="23" t="s">
        <v>56</v>
      </c>
      <c r="F5" s="23" t="s">
        <v>60</v>
      </c>
    </row>
    <row r="6" spans="1:6" x14ac:dyDescent="0.25">
      <c r="A6" t="s">
        <v>136</v>
      </c>
      <c r="B6" t="s">
        <v>113</v>
      </c>
      <c r="D6" s="24">
        <v>4</v>
      </c>
      <c r="E6" s="24" t="s">
        <v>42</v>
      </c>
      <c r="F6" s="24" t="s">
        <v>61</v>
      </c>
    </row>
    <row r="7" spans="1:6" x14ac:dyDescent="0.25">
      <c r="A7" t="s">
        <v>18</v>
      </c>
      <c r="B7" t="s">
        <v>28</v>
      </c>
      <c r="D7" s="23">
        <v>5</v>
      </c>
      <c r="E7" s="23" t="s">
        <v>57</v>
      </c>
      <c r="F7" s="23" t="s">
        <v>62</v>
      </c>
    </row>
    <row r="8" spans="1:6" x14ac:dyDescent="0.25">
      <c r="A8" t="s">
        <v>9</v>
      </c>
      <c r="B8" t="s">
        <v>27</v>
      </c>
      <c r="D8" s="24">
        <v>6</v>
      </c>
      <c r="E8" s="24" t="s">
        <v>43</v>
      </c>
      <c r="F8" s="24" t="s">
        <v>63</v>
      </c>
    </row>
    <row r="9" spans="1:6" x14ac:dyDescent="0.25">
      <c r="A9" t="s">
        <v>107</v>
      </c>
      <c r="B9" t="s">
        <v>28</v>
      </c>
      <c r="D9" s="23">
        <v>7</v>
      </c>
      <c r="E9" s="23" t="s">
        <v>44</v>
      </c>
      <c r="F9" s="23" t="s">
        <v>64</v>
      </c>
    </row>
    <row r="10" spans="1:6" x14ac:dyDescent="0.25">
      <c r="A10" t="s">
        <v>13</v>
      </c>
      <c r="B10" t="s">
        <v>28</v>
      </c>
      <c r="D10" s="24">
        <v>8</v>
      </c>
      <c r="E10" s="24" t="s">
        <v>45</v>
      </c>
      <c r="F10" s="24" t="s">
        <v>65</v>
      </c>
    </row>
    <row r="11" spans="1:6" x14ac:dyDescent="0.25">
      <c r="A11" t="s">
        <v>11</v>
      </c>
      <c r="B11" t="s">
        <v>28</v>
      </c>
      <c r="D11" s="23">
        <v>9</v>
      </c>
      <c r="E11" s="23" t="s">
        <v>58</v>
      </c>
      <c r="F11" s="23" t="s">
        <v>66</v>
      </c>
    </row>
    <row r="12" spans="1:6" x14ac:dyDescent="0.25">
      <c r="A12" t="s">
        <v>115</v>
      </c>
      <c r="B12" t="s">
        <v>28</v>
      </c>
      <c r="D12" s="24">
        <v>10</v>
      </c>
      <c r="E12" s="24" t="s">
        <v>46</v>
      </c>
      <c r="F12" s="24" t="s">
        <v>67</v>
      </c>
    </row>
    <row r="13" spans="1:6" x14ac:dyDescent="0.25">
      <c r="A13" t="s">
        <v>108</v>
      </c>
      <c r="B13" t="s">
        <v>28</v>
      </c>
      <c r="D13" s="23">
        <v>11</v>
      </c>
      <c r="E13" s="23" t="s">
        <v>47</v>
      </c>
      <c r="F13" s="23" t="s">
        <v>68</v>
      </c>
    </row>
    <row r="14" spans="1:6" x14ac:dyDescent="0.25">
      <c r="A14" t="s">
        <v>108</v>
      </c>
      <c r="B14" t="s">
        <v>113</v>
      </c>
      <c r="D14" s="24">
        <v>12</v>
      </c>
      <c r="E14" s="24" t="s">
        <v>48</v>
      </c>
      <c r="F14" s="24" t="s">
        <v>69</v>
      </c>
    </row>
    <row r="15" spans="1:6" x14ac:dyDescent="0.25">
      <c r="A15" t="s">
        <v>130</v>
      </c>
      <c r="B15" t="s">
        <v>28</v>
      </c>
      <c r="D15" s="24">
        <v>13</v>
      </c>
      <c r="E15" s="23" t="s">
        <v>71</v>
      </c>
      <c r="F15" s="24" t="s">
        <v>72</v>
      </c>
    </row>
    <row r="16" spans="1:6" x14ac:dyDescent="0.25">
      <c r="A16" t="s">
        <v>126</v>
      </c>
      <c r="B16" t="s">
        <v>29</v>
      </c>
    </row>
    <row r="17" spans="1:2" x14ac:dyDescent="0.25">
      <c r="A17" t="s">
        <v>120</v>
      </c>
      <c r="B17" t="s">
        <v>28</v>
      </c>
    </row>
    <row r="18" spans="1:2" x14ac:dyDescent="0.25">
      <c r="A18" t="s">
        <v>172</v>
      </c>
      <c r="B18" t="s">
        <v>113</v>
      </c>
    </row>
    <row r="19" spans="1:2" x14ac:dyDescent="0.25">
      <c r="A19" t="s">
        <v>14</v>
      </c>
      <c r="B19" t="s">
        <v>28</v>
      </c>
    </row>
    <row r="20" spans="1:2" x14ac:dyDescent="0.25">
      <c r="A20" t="s">
        <v>12</v>
      </c>
      <c r="B20" t="s">
        <v>28</v>
      </c>
    </row>
    <row r="21" spans="1:2" x14ac:dyDescent="0.25">
      <c r="A21" t="s">
        <v>22</v>
      </c>
      <c r="B21" t="s">
        <v>28</v>
      </c>
    </row>
    <row r="22" spans="1:2" x14ac:dyDescent="0.25">
      <c r="A22" t="s">
        <v>109</v>
      </c>
      <c r="B22" t="s">
        <v>28</v>
      </c>
    </row>
    <row r="23" spans="1:2" x14ac:dyDescent="0.25">
      <c r="A23" t="s">
        <v>110</v>
      </c>
      <c r="B23" t="s">
        <v>28</v>
      </c>
    </row>
    <row r="24" spans="1:2" x14ac:dyDescent="0.25">
      <c r="A24" t="s">
        <v>21</v>
      </c>
      <c r="B24" t="s">
        <v>28</v>
      </c>
    </row>
    <row r="25" spans="1:2" x14ac:dyDescent="0.25">
      <c r="A25" t="s">
        <v>16</v>
      </c>
      <c r="B25" t="s">
        <v>28</v>
      </c>
    </row>
    <row r="26" spans="1:2" x14ac:dyDescent="0.25">
      <c r="A26" t="s">
        <v>79</v>
      </c>
      <c r="B26" t="s">
        <v>28</v>
      </c>
    </row>
    <row r="27" spans="1:2" x14ac:dyDescent="0.25">
      <c r="A27" t="s">
        <v>78</v>
      </c>
      <c r="B27" t="s">
        <v>29</v>
      </c>
    </row>
    <row r="28" spans="1:2" x14ac:dyDescent="0.25">
      <c r="A28" t="s">
        <v>15</v>
      </c>
      <c r="B28" t="s">
        <v>28</v>
      </c>
    </row>
    <row r="29" spans="1:2" x14ac:dyDescent="0.25">
      <c r="A29" t="s">
        <v>19</v>
      </c>
      <c r="B29" t="s">
        <v>28</v>
      </c>
    </row>
    <row r="30" spans="1:2" x14ac:dyDescent="0.25">
      <c r="A30" t="s">
        <v>111</v>
      </c>
      <c r="B30" t="s">
        <v>28</v>
      </c>
    </row>
    <row r="31" spans="1:2" x14ac:dyDescent="0.25">
      <c r="A31" t="s">
        <v>20</v>
      </c>
      <c r="B31" t="s">
        <v>28</v>
      </c>
    </row>
    <row r="32" spans="1:2" x14ac:dyDescent="0.25">
      <c r="A32" t="s">
        <v>122</v>
      </c>
      <c r="B32" t="s">
        <v>28</v>
      </c>
    </row>
    <row r="33" spans="1:2" x14ac:dyDescent="0.25">
      <c r="A33" t="s">
        <v>112</v>
      </c>
      <c r="B33" t="s">
        <v>113</v>
      </c>
    </row>
    <row r="34" spans="1:2" x14ac:dyDescent="0.25">
      <c r="A34" t="s">
        <v>119</v>
      </c>
      <c r="B34" t="s">
        <v>29</v>
      </c>
    </row>
    <row r="35" spans="1:2" x14ac:dyDescent="0.25">
      <c r="A35" t="s">
        <v>10</v>
      </c>
      <c r="B35" t="s">
        <v>29</v>
      </c>
    </row>
    <row r="36" spans="1:2" x14ac:dyDescent="0.25">
      <c r="A36" t="s">
        <v>114</v>
      </c>
      <c r="B36" t="s">
        <v>29</v>
      </c>
    </row>
    <row r="37" spans="1:2" x14ac:dyDescent="0.25">
      <c r="A37" t="s">
        <v>23</v>
      </c>
      <c r="B37" t="s">
        <v>28</v>
      </c>
    </row>
    <row r="38" spans="1:2" x14ac:dyDescent="0.25">
      <c r="A38" t="s">
        <v>17</v>
      </c>
      <c r="B38" t="s">
        <v>28</v>
      </c>
    </row>
    <row r="39" spans="1:2" x14ac:dyDescent="0.25">
      <c r="A39" t="s">
        <v>53</v>
      </c>
      <c r="B39" t="s">
        <v>29</v>
      </c>
    </row>
    <row r="40" spans="1:2" x14ac:dyDescent="0.25">
      <c r="A40" t="s">
        <v>116</v>
      </c>
      <c r="B40" t="s">
        <v>28</v>
      </c>
    </row>
    <row r="41" spans="1:2" x14ac:dyDescent="0.25">
      <c r="A41" t="s">
        <v>121</v>
      </c>
      <c r="B41" t="s">
        <v>29</v>
      </c>
    </row>
    <row r="42" spans="1:2" x14ac:dyDescent="0.25">
      <c r="A42" t="s">
        <v>118</v>
      </c>
      <c r="B42" t="s">
        <v>28</v>
      </c>
    </row>
    <row r="43" spans="1:2" x14ac:dyDescent="0.25">
      <c r="A43" t="s">
        <v>117</v>
      </c>
      <c r="B43" t="s">
        <v>28</v>
      </c>
    </row>
    <row r="44" spans="1:2" ht="18" thickBot="1" x14ac:dyDescent="0.35">
      <c r="A44" s="10" t="s">
        <v>80</v>
      </c>
    </row>
    <row r="45" spans="1:2" ht="15.75" thickTop="1" x14ac:dyDescent="0.25">
      <c r="A45" s="17" t="s">
        <v>49</v>
      </c>
    </row>
    <row r="46" spans="1:2" x14ac:dyDescent="0.25">
      <c r="A46" s="19" t="s">
        <v>9</v>
      </c>
    </row>
    <row r="47" spans="1:2" x14ac:dyDescent="0.25">
      <c r="A47" s="19" t="s">
        <v>13</v>
      </c>
    </row>
    <row r="48" spans="1:2" x14ac:dyDescent="0.25">
      <c r="A48" s="19" t="s">
        <v>11</v>
      </c>
    </row>
    <row r="49" spans="1:1" x14ac:dyDescent="0.25">
      <c r="A49" s="19" t="s">
        <v>12</v>
      </c>
    </row>
    <row r="50" spans="1:1" x14ac:dyDescent="0.25">
      <c r="A50" s="19" t="s">
        <v>21</v>
      </c>
    </row>
    <row r="51" spans="1:1" x14ac:dyDescent="0.25">
      <c r="A51" s="19" t="s">
        <v>16</v>
      </c>
    </row>
    <row r="52" spans="1:1" x14ac:dyDescent="0.25">
      <c r="A52" s="19" t="s">
        <v>15</v>
      </c>
    </row>
    <row r="53" spans="1:1" x14ac:dyDescent="0.25">
      <c r="A53" s="19" t="s">
        <v>19</v>
      </c>
    </row>
    <row r="54" spans="1:1" x14ac:dyDescent="0.25">
      <c r="A54" s="19" t="s">
        <v>20</v>
      </c>
    </row>
    <row r="55" spans="1:1" x14ac:dyDescent="0.25">
      <c r="A55" s="19" t="s">
        <v>10</v>
      </c>
    </row>
    <row r="56" spans="1:1" x14ac:dyDescent="0.25">
      <c r="A56" s="19" t="s">
        <v>17</v>
      </c>
    </row>
  </sheetData>
  <sortState xmlns:xlrd2="http://schemas.microsoft.com/office/spreadsheetml/2017/richdata2" ref="A3:A52">
    <sortCondition ref="A52"/>
  </sortState>
  <pageMargins left="0.7" right="0.7" top="0.75" bottom="0.75" header="0.3" footer="0.3"/>
  <pageSetup paperSize="9" orientation="portrait" horizontalDpi="360" verticalDpi="360" r:id="rId2"/>
  <headerFooter>
    <oddHeader>&amp;CBlandford St Mary Parish Council</oddHeader>
  </headerFooter>
  <tableParts count="2">
    <tablePart r:id="rId3"/>
    <tablePart r:id="rId4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36942B-AF07-4B17-A770-F54987FFD6AB}">
  <dimension ref="A1:D17"/>
  <sheetViews>
    <sheetView workbookViewId="0">
      <selection activeCell="C21" sqref="C21"/>
    </sheetView>
  </sheetViews>
  <sheetFormatPr defaultRowHeight="15" x14ac:dyDescent="0.25"/>
  <cols>
    <col min="1" max="1" width="10.7109375" bestFit="1" customWidth="1"/>
    <col min="4" max="4" width="10.140625" bestFit="1" customWidth="1"/>
  </cols>
  <sheetData>
    <row r="1" spans="1:4" x14ac:dyDescent="0.25">
      <c r="A1" t="s">
        <v>123</v>
      </c>
    </row>
    <row r="2" spans="1:4" x14ac:dyDescent="0.25">
      <c r="C2" t="s">
        <v>51</v>
      </c>
    </row>
    <row r="3" spans="1:4" x14ac:dyDescent="0.25">
      <c r="A3" t="s">
        <v>127</v>
      </c>
      <c r="C3" s="63"/>
      <c r="D3" s="64">
        <v>12571.08</v>
      </c>
    </row>
    <row r="4" spans="1:4" x14ac:dyDescent="0.25">
      <c r="C4" s="63"/>
      <c r="D4" s="64"/>
    </row>
    <row r="5" spans="1:4" x14ac:dyDescent="0.25">
      <c r="A5" s="18">
        <v>44317</v>
      </c>
      <c r="C5" s="63">
        <v>0.22</v>
      </c>
      <c r="D5" s="64">
        <v>12571.2</v>
      </c>
    </row>
    <row r="6" spans="1:4" x14ac:dyDescent="0.25">
      <c r="A6" s="18">
        <v>44348</v>
      </c>
      <c r="C6" s="63">
        <v>0.1</v>
      </c>
      <c r="D6" s="64">
        <v>12571.4</v>
      </c>
    </row>
    <row r="7" spans="1:4" x14ac:dyDescent="0.25">
      <c r="A7" s="18">
        <v>44378</v>
      </c>
      <c r="C7" s="63">
        <v>0.1</v>
      </c>
      <c r="D7" s="64">
        <v>12571.5</v>
      </c>
    </row>
    <row r="8" spans="1:4" x14ac:dyDescent="0.25">
      <c r="A8" s="18">
        <v>44409</v>
      </c>
      <c r="C8" s="63">
        <v>0.11</v>
      </c>
      <c r="D8" s="64">
        <v>12571.61</v>
      </c>
    </row>
    <row r="9" spans="1:4" x14ac:dyDescent="0.25">
      <c r="A9" s="18">
        <v>44531</v>
      </c>
      <c r="C9" s="63">
        <v>6.86</v>
      </c>
      <c r="D9" s="64">
        <v>12578.47</v>
      </c>
    </row>
    <row r="10" spans="1:4" x14ac:dyDescent="0.25">
      <c r="A10" s="18">
        <v>44927</v>
      </c>
      <c r="C10" s="63">
        <v>5.38</v>
      </c>
      <c r="D10" s="64">
        <v>12583.85</v>
      </c>
    </row>
    <row r="11" spans="1:4" x14ac:dyDescent="0.25">
      <c r="A11" s="18">
        <v>44958</v>
      </c>
      <c r="C11" s="63">
        <v>6.41</v>
      </c>
      <c r="D11" s="64">
        <v>12590.26</v>
      </c>
    </row>
    <row r="12" spans="1:4" x14ac:dyDescent="0.25">
      <c r="A12" s="18">
        <v>44986</v>
      </c>
      <c r="C12" s="63">
        <v>5.93</v>
      </c>
      <c r="D12" s="64">
        <v>12596.19</v>
      </c>
    </row>
    <row r="13" spans="1:4" x14ac:dyDescent="0.25">
      <c r="A13" s="18"/>
      <c r="C13" s="63"/>
      <c r="D13" s="64"/>
    </row>
    <row r="14" spans="1:4" x14ac:dyDescent="0.25">
      <c r="C14" s="63"/>
      <c r="D14" s="64"/>
    </row>
    <row r="17" spans="1:4" x14ac:dyDescent="0.25">
      <c r="A17" s="68" t="s">
        <v>125</v>
      </c>
      <c r="B17" s="68"/>
      <c r="C17" s="70">
        <f>SUM(C4:C16)</f>
        <v>25.11</v>
      </c>
      <c r="D17" s="69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9</vt:i4>
      </vt:variant>
    </vt:vector>
  </HeadingPairs>
  <TitlesOfParts>
    <vt:vector size="16" baseType="lpstr">
      <vt:lpstr>Transactions</vt:lpstr>
      <vt:lpstr>Bank Reconciliation</vt:lpstr>
      <vt:lpstr>Management Account</vt:lpstr>
      <vt:lpstr>Sheet1</vt:lpstr>
      <vt:lpstr>Parameters</vt:lpstr>
      <vt:lpstr>Categories List</vt:lpstr>
      <vt:lpstr>Sheet2</vt:lpstr>
      <vt:lpstr>BankStatementBalance</vt:lpstr>
      <vt:lpstr>dbTable24</vt:lpstr>
      <vt:lpstr>ddMonths</vt:lpstr>
      <vt:lpstr>EndOfPeriod</vt:lpstr>
      <vt:lpstr>'Bank Reconciliation'!Print_Area</vt:lpstr>
      <vt:lpstr>'Management Account'!Print_Area</vt:lpstr>
      <vt:lpstr>Transactions!Print_Area</vt:lpstr>
      <vt:lpstr>YearEnd</vt:lpstr>
      <vt:lpstr>YearStart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Phillips</dc:creator>
  <cp:lastModifiedBy>Nicola Phillips</cp:lastModifiedBy>
  <cp:lastPrinted>2023-05-22T10:34:18Z</cp:lastPrinted>
  <dcterms:created xsi:type="dcterms:W3CDTF">2019-05-22T18:40:43Z</dcterms:created>
  <dcterms:modified xsi:type="dcterms:W3CDTF">2023-05-22T10:34:23Z</dcterms:modified>
</cp:coreProperties>
</file>